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trlProps/ctrlProp2.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G:\Finance\CVTRS - Dashboard - Revenue Sharing.2014 and fwd\Revenue Sharing Docs 12.1.2023\"/>
    </mc:Choice>
  </mc:AlternateContent>
  <xr:revisionPtr revIDLastSave="0" documentId="13_ncr:1_{6F423998-CA58-4FAD-BBBC-278B5567B75C}" xr6:coauthVersionLast="47" xr6:coauthVersionMax="47" xr10:uidLastSave="{00000000-0000-0000-0000-000000000000}"/>
  <bookViews>
    <workbookView xWindow="-108" yWindow="-108" windowWidth="30936" windowHeight="16776" tabRatio="802" firstSheet="2" activeTab="2" xr2:uid="{00000000-000D-0000-FFFF-FFFF00000000}"/>
  </bookViews>
  <sheets>
    <sheet name="Instructions" sheetId="8" state="hidden" r:id="rId1"/>
    <sheet name="Data Input" sheetId="1" state="hidden" r:id="rId2"/>
    <sheet name="Rev" sheetId="2" r:id="rId3"/>
    <sheet name="Exp" sheetId="3" r:id="rId4"/>
    <sheet name="Position" sheetId="4" r:id="rId5"/>
    <sheet name="Debt Service" sheetId="14" state="hidden" r:id="rId6"/>
    <sheet name="Obligations" sheetId="6" r:id="rId7"/>
    <sheet name="Unused --&gt;" sheetId="13" state="hidden" r:id="rId8"/>
    <sheet name="Budget" sheetId="10" state="hidden" r:id="rId9"/>
    <sheet name="F-65 Cross-walk" sheetId="5" state="hidden" r:id="rId10"/>
    <sheet name="Restating Under G54" sheetId="9" state="hidden" r:id="rId11"/>
  </sheets>
  <externalReferences>
    <externalReference r:id="rId12"/>
  </externalReferences>
  <definedNames>
    <definedName name="ask" localSheetId="5" hidden="1">{#N/A,#N/A,FALSE,"cover";#N/A,#N/A,FALSE,"title pg"}</definedName>
    <definedName name="ask" hidden="1">{#N/A,#N/A,FALSE,"cover";#N/A,#N/A,FALSE,"title pg"}</definedName>
    <definedName name="askdljf" localSheetId="5" hidden="1">{#N/A,#N/A,FALSE,"cover";#N/A,#N/A,FALSE,"title pg"}</definedName>
    <definedName name="askdljf" hidden="1">{#N/A,#N/A,FALSE,"cover";#N/A,#N/A,FALSE,"title pg"}</definedName>
    <definedName name="Citizens_Guide_Instructions" localSheetId="0">Instructions!$A$1:$AV$66</definedName>
    <definedName name="comapr" localSheetId="5" hidden="1">{#N/A,#N/A,FALSE,"addl info fly sheet"}</definedName>
    <definedName name="comapr" hidden="1">{#N/A,#N/A,FALSE,"addl info fly sheet"}</definedName>
    <definedName name="compar" localSheetId="5" hidden="1">{#N/A,#N/A,FALSE,"cover";#N/A,#N/A,FALSE,"title pg"}</definedName>
    <definedName name="compar" hidden="1">{#N/A,#N/A,FALSE,"cover";#N/A,#N/A,FALSE,"title pg"}</definedName>
    <definedName name="FUNDCBS">'[1]Fund CBS'!#REF!</definedName>
    <definedName name="ISF_CBS" localSheetId="5">#REF!</definedName>
    <definedName name="ISF_CBS">#REF!</definedName>
    <definedName name="ISF_CSCF" localSheetId="5">#REF!</definedName>
    <definedName name="ISF_CSCF">#REF!</definedName>
    <definedName name="ISF_CSRECRE" localSheetId="5">#REF!</definedName>
    <definedName name="ISF_CSRECRE">#REF!</definedName>
    <definedName name="jfjf" localSheetId="5" hidden="1">{#N/A,#N/A,FALSE,"addl info fly sheet"}</definedName>
    <definedName name="jfjf" hidden="1">{#N/A,#N/A,FALSE,"addl info fly sheet"}</definedName>
    <definedName name="new" localSheetId="5" hidden="1">{#N/A,#N/A,FALSE,"Balance Sheet(single)";#N/A,#N/A,FALSE,"Income(single)";#N/A,#N/A,FALSE,"Stockholder's equity";#N/A,#N/A,FALSE,"Cash flows(single)"}</definedName>
    <definedName name="new" hidden="1">{#N/A,#N/A,FALSE,"Balance Sheet(single)";#N/A,#N/A,FALSE,"Income(single)";#N/A,#N/A,FALSE,"Stockholder's equity";#N/A,#N/A,FALSE,"Cash flows(single)"}</definedName>
    <definedName name="Note3" localSheetId="5">#REF!</definedName>
    <definedName name="Note3">#REF!</definedName>
    <definedName name="Note5a" localSheetId="5">#REF!</definedName>
    <definedName name="Note5a">#REF!</definedName>
    <definedName name="Note5b" localSheetId="5">#REF!</definedName>
    <definedName name="Note5b">#REF!</definedName>
    <definedName name="Note9a" localSheetId="5">#REF!</definedName>
    <definedName name="Note9a">#REF!</definedName>
    <definedName name="_xlnm.Print_Area" localSheetId="1">'Data Input'!$A$1:$O$76</definedName>
    <definedName name="_xlnm.Print_Area" localSheetId="5">'Debt Service'!$A$1:$AA$70</definedName>
    <definedName name="_xlnm.Print_Area" localSheetId="3">Exp!$A$1:$J$45</definedName>
    <definedName name="_xlnm.Print_Area" localSheetId="6">Obligations!$A$1:$P$38</definedName>
    <definedName name="_xlnm.Print_Area" localSheetId="4">Position!$A$1:$I$40</definedName>
    <definedName name="_xlnm.Print_Area" localSheetId="2">Rev!$A$1:$J$40</definedName>
    <definedName name="_xlnm.Print_Titles" localSheetId="1">'Data Input'!$2:$2</definedName>
    <definedName name="TEST" localSheetId="5" hidden="1">{#N/A,#N/A,FALSE,"cover";#N/A,#N/A,FALSE,"title pg"}</definedName>
    <definedName name="TEST" hidden="1">{#N/A,#N/A,FALSE,"cover";#N/A,#N/A,FALSE,"title pg"}</definedName>
    <definedName name="wrn.Draft._.Reporting." localSheetId="5" hidden="1">{"CBS Assets",#N/A,FALSE,"CBS Assets";"CBS Liabilities",#N/A,FALSE,"CBS Liabilities";"AGFT",#N/A,FALSE,"AGFT";"B&amp;A",#N/A,FALSE,"B&amp;A";"APFT",#N/A,FALSE,"APFT";"CF",#N/A,FALSE,"CF";"Note 2a",#N/A,FALSE,"Note2a";"Note 2b",#N/A,FALSE,"Note2b";"Note 2c",#N/A,FALSE,"Note2c";"Note 2d",#N/A,FALSE,"Note2d";"Note 4a",#N/A,FALSE,"Note4a";"Note 5a",#N/A,FALSE,"Note5a";"Note 6a",#N/A,FALSE,"Note6a";"Note 6b",#N/A,FALSE,"Note6b";"Note 6c",#N/A,FALSE,"Note6c";"Note 7a",#N/A,FALSE,"Note7a";"Note 7b",#N/A,FALSE,"Note7b";"Note 7c",#N/A,FALSE,"Note7c";"Note 7d",#N/A,FALSE,"Note7d";"Note 8",#N/A,FALSE,"Note8";"Note 10",#N/A,FALSE,"Note10";"Note 11a",#N/A,FALSE,"Note11a";"Note 11b",#N/A,FALSE,"Note11b";"Note 12a",#N/A,FALSE,"Note12a";"Note 12b",#N/A,FALSE,"Note12b";"Note 13",#N/A,FALSE,"Note13";"Note 16a",#N/A,FALSE,"Note16a";"Note 16b",#N/A,FALSE,"Note16b";"Note 16c",#N/A,FALSE,"Note16c";"Note 16d",#N/A,FALSE,"Note16d";"Note 16e",#N/A,FALSE,"Note16e";"Note 18a",#N/A,FALSE,"Note18a";"Note 18b",#N/A,FALSE,"Note18b";"Note 20",#N/A,FALSE,"Note20";"RSRSI-AFP",#N/A,FALSE,"RSRSI-AFP";"RSRSI-RSEBT",#N/A,FALSE,"RSRSI-RSEBT";"GF-SRECFB-B&amp;A",#N/A,FALSE,"GF-SRECFB-B&amp;A";"SRF-CBS",#N/A,FALSE,"SRF-CBS";"SRF-CSRECFB",#N/A,FALSE,"SRF-CSRECFB";"DSF-CBS",#N/A,FALSE,"DSF-CBS";"DSF-CSRECFB",#N/A,FALSE,"DSF-CSRECFB";"CPF-CBS",#N/A,FALSE,"CPF-CBS";"CPF-CSRECFB",#N/A,FALSE,"CPF-CSRECFB";"EF-CBS",#N/A,FALSE,"EF-CBS";"EF-CSRECRE",#N/A,FALSE,"EF-CSRECRE";"EF-CSCF",#N/A,FALSE,"EF-CSCF";"ISF-CBS",#N/A,FALSE,"ISF-CBS";"ISF-CSRECRE",#N/A,FALSE,"ISF-CSRECRE";"TAF-CBS",#N/A,FALSE,"TAF-CBS";"TAF-CSCAL-AAF",#N/A,FALSE,"TAF-CSCAL-AAF";"SI",#N/A,FALSE,"SI";"CU-CBS",#N/A,FALSE,"CU-CBS";"CU-CSRECFB",#N/A,FALSE,"CU-CSRECFB";"CU-CSRECRE",#N/A,FALSE,"CU-CSRECRE";"CU-CSCF",#N/A,FALSE,"CU-CSCF"}</definedName>
    <definedName name="wrn.Draft._.Reporting." hidden="1">{"CBS Assets",#N/A,FALSE,"CBS Assets";"CBS Liabilities",#N/A,FALSE,"CBS Liabilities";"AGFT",#N/A,FALSE,"AGFT";"B&amp;A",#N/A,FALSE,"B&amp;A";"APFT",#N/A,FALSE,"APFT";"CF",#N/A,FALSE,"CF";"Note 2a",#N/A,FALSE,"Note2a";"Note 2b",#N/A,FALSE,"Note2b";"Note 2c",#N/A,FALSE,"Note2c";"Note 2d",#N/A,FALSE,"Note2d";"Note 4a",#N/A,FALSE,"Note4a";"Note 5a",#N/A,FALSE,"Note5a";"Note 6a",#N/A,FALSE,"Note6a";"Note 6b",#N/A,FALSE,"Note6b";"Note 6c",#N/A,FALSE,"Note6c";"Note 7a",#N/A,FALSE,"Note7a";"Note 7b",#N/A,FALSE,"Note7b";"Note 7c",#N/A,FALSE,"Note7c";"Note 7d",#N/A,FALSE,"Note7d";"Note 8",#N/A,FALSE,"Note8";"Note 10",#N/A,FALSE,"Note10";"Note 11a",#N/A,FALSE,"Note11a";"Note 11b",#N/A,FALSE,"Note11b";"Note 12a",#N/A,FALSE,"Note12a";"Note 12b",#N/A,FALSE,"Note12b";"Note 13",#N/A,FALSE,"Note13";"Note 16a",#N/A,FALSE,"Note16a";"Note 16b",#N/A,FALSE,"Note16b";"Note 16c",#N/A,FALSE,"Note16c";"Note 16d",#N/A,FALSE,"Note16d";"Note 16e",#N/A,FALSE,"Note16e";"Note 18a",#N/A,FALSE,"Note18a";"Note 18b",#N/A,FALSE,"Note18b";"Note 20",#N/A,FALSE,"Note20";"RSRSI-AFP",#N/A,FALSE,"RSRSI-AFP";"RSRSI-RSEBT",#N/A,FALSE,"RSRSI-RSEBT";"GF-SRECFB-B&amp;A",#N/A,FALSE,"GF-SRECFB-B&amp;A";"SRF-CBS",#N/A,FALSE,"SRF-CBS";"SRF-CSRECFB",#N/A,FALSE,"SRF-CSRECFB";"DSF-CBS",#N/A,FALSE,"DSF-CBS";"DSF-CSRECFB",#N/A,FALSE,"DSF-CSRECFB";"CPF-CBS",#N/A,FALSE,"CPF-CBS";"CPF-CSRECFB",#N/A,FALSE,"CPF-CSRECFB";"EF-CBS",#N/A,FALSE,"EF-CBS";"EF-CSRECRE",#N/A,FALSE,"EF-CSRECRE";"EF-CSCF",#N/A,FALSE,"EF-CSCF";"ISF-CBS",#N/A,FALSE,"ISF-CBS";"ISF-CSRECRE",#N/A,FALSE,"ISF-CSRECRE";"TAF-CBS",#N/A,FALSE,"TAF-CBS";"TAF-CSCAL-AAF",#N/A,FALSE,"TAF-CSCAL-AAF";"SI",#N/A,FALSE,"SI";"CU-CBS",#N/A,FALSE,"CU-CBS";"CU-CSRECFB",#N/A,FALSE,"CU-CSRECFB";"CU-CSRECRE",#N/A,FALSE,"CU-CSRECRE";"CU-CSCF",#N/A,FALSE,"CU-CSCF"}</definedName>
    <definedName name="wrn.Proof._.sheets." localSheetId="5" hidden="1">{"CBS Assets - Proof",#N/A,FALSE,"CBS Assets";"CBS Liabilities - Proof",#N/A,FALSE,"CBS Liabilities";"AGFT - Proof",#N/A,FALSE,"AGFT";"B&amp;A-Proof",#N/A,FALSE,"B&amp;A";"APFT - Proof",#N/A,FALSE,"APFT";"CF - Proof",#N/A,FALSE,"CF";"Note 2a",#N/A,FALSE,"Note2a";"Note 2b",#N/A,FALSE,"Note2b";"Note 2c",#N/A,FALSE,"Note2c";"Note 2d",#N/A,FALSE,"Note2d";"Note 4a",#N/A,FALSE,"Note4a";"Note 5a",#N/A,FALSE,"Note5a";"Note 6a",#N/A,FALSE,"Note6a";"Note 6b",#N/A,FALSE,"Note6b";"Note 6c",#N/A,FALSE,"Note6c";"Note 7a",#N/A,FALSE,"Note7a";"Note 7b",#N/A,FALSE,"Note7b";"Note 7c",#N/A,FALSE,"Note7c";"Note 7d",#N/A,FALSE,"Note7d";"Note 8",#N/A,FALSE,"Note8";"Note 10",#N/A,FALSE,"Note10";"Note 11a",#N/A,FALSE,"Note11a";"Note 11b",#N/A,FALSE,"Note11b";"Note 12a",#N/A,FALSE,"Note12a";"Note 12b",#N/A,FALSE,"Note12b";"Note 13",#N/A,FALSE,"Note13";"Note 16a",#N/A,FALSE,"Note16a";"Note 16b",#N/A,FALSE,"Note16b";"Note 16c",#N/A,FALSE,"Note16c";"Note 16d",#N/A,FALSE,"Note16d";"Note 16e",#N/A,FALSE,"Note16e";"Note 18a",#N/A,FALSE,"Note18a";"Note 18b",#N/A,FALSE,"Note18b";"Note 20",#N/A,FALSE,"Note20";"RSRSI-AFP",#N/A,FALSE,"RSRSI-AFP";"GF-SRECFB-B&amp;A- Proof",#N/A,FALSE,"GF-SRECFB-B&amp;A";"SRF-CBS - Proof",#N/A,FALSE,"SRF-CBS";"SRF-CSRECFB-Proof",#N/A,FALSE,"SRF-CSRECFB";"DSF-CBS-Proof",#N/A,FALSE,"DSF-CBS";"DSF-CSRECFB-Proof",#N/A,FALSE,"DSF-CSRECFB";"CPF-CBS-Proof",#N/A,FALSE,"CPF-CBS";"CPF-CSRECFB-Proof",#N/A,FALSE,"CPF-CSRECFB";"EF-CBS-Proof",#N/A,FALSE,"EF-CBS";"EF-CSRECRE-Proof",#N/A,FALSE,"EF-CSRECRE";"EF-CSCF-Proof",#N/A,FALSE,"EF-CSCF";"ISF-CBS-Proof",#N/A,FALSE,"ISF-CBS";"ISF-CSRECRE-Proof",#N/A,FALSE,"ISF-CSRECRE";"ISF-CSCF-Proof",#N/A,FALSE,"ISF-CSCF";"TAF-CBS-Proof",#N/A,FALSE,"TAF-CBS";"TAF-CSCAL-AAF-Proof",#N/A,FALSE,"TAF-CSCAL-AAF";"SI",#N/A,FALSE,"SI";"CU-CBS-Proof",#N/A,FALSE,"CU-CBS";"CU-CSRECFB-Proof",#N/A,FALSE,"CU-CSRECFB";"CU-CSRECRE-Proof",#N/A,FALSE,"CU-CSRECRE";"CU-CSCF-Proof",#N/A,FALSE,"CU-CSCF"}</definedName>
    <definedName name="wrn.Proof._.sheets." hidden="1">{"CBS Assets - Proof",#N/A,FALSE,"CBS Assets";"CBS Liabilities - Proof",#N/A,FALSE,"CBS Liabilities";"AGFT - Proof",#N/A,FALSE,"AGFT";"B&amp;A-Proof",#N/A,FALSE,"B&amp;A";"APFT - Proof",#N/A,FALSE,"APFT";"CF - Proof",#N/A,FALSE,"CF";"Note 2a",#N/A,FALSE,"Note2a";"Note 2b",#N/A,FALSE,"Note2b";"Note 2c",#N/A,FALSE,"Note2c";"Note 2d",#N/A,FALSE,"Note2d";"Note 4a",#N/A,FALSE,"Note4a";"Note 5a",#N/A,FALSE,"Note5a";"Note 6a",#N/A,FALSE,"Note6a";"Note 6b",#N/A,FALSE,"Note6b";"Note 6c",#N/A,FALSE,"Note6c";"Note 7a",#N/A,FALSE,"Note7a";"Note 7b",#N/A,FALSE,"Note7b";"Note 7c",#N/A,FALSE,"Note7c";"Note 7d",#N/A,FALSE,"Note7d";"Note 8",#N/A,FALSE,"Note8";"Note 10",#N/A,FALSE,"Note10";"Note 11a",#N/A,FALSE,"Note11a";"Note 11b",#N/A,FALSE,"Note11b";"Note 12a",#N/A,FALSE,"Note12a";"Note 12b",#N/A,FALSE,"Note12b";"Note 13",#N/A,FALSE,"Note13";"Note 16a",#N/A,FALSE,"Note16a";"Note 16b",#N/A,FALSE,"Note16b";"Note 16c",#N/A,FALSE,"Note16c";"Note 16d",#N/A,FALSE,"Note16d";"Note 16e",#N/A,FALSE,"Note16e";"Note 18a",#N/A,FALSE,"Note18a";"Note 18b",#N/A,FALSE,"Note18b";"Note 20",#N/A,FALSE,"Note20";"RSRSI-AFP",#N/A,FALSE,"RSRSI-AFP";"GF-SRECFB-B&amp;A- Proof",#N/A,FALSE,"GF-SRECFB-B&amp;A";"SRF-CBS - Proof",#N/A,FALSE,"SRF-CBS";"SRF-CSRECFB-Proof",#N/A,FALSE,"SRF-CSRECFB";"DSF-CBS-Proof",#N/A,FALSE,"DSF-CBS";"DSF-CSRECFB-Proof",#N/A,FALSE,"DSF-CSRECFB";"CPF-CBS-Proof",#N/A,FALSE,"CPF-CBS";"CPF-CSRECFB-Proof",#N/A,FALSE,"CPF-CSRECFB";"EF-CBS-Proof",#N/A,FALSE,"EF-CBS";"EF-CSRECRE-Proof",#N/A,FALSE,"EF-CSRECRE";"EF-CSCF-Proof",#N/A,FALSE,"EF-CSCF";"ISF-CBS-Proof",#N/A,FALSE,"ISF-CBS";"ISF-CSRECRE-Proof",#N/A,FALSE,"ISF-CSRECRE";"ISF-CSCF-Proof",#N/A,FALSE,"ISF-CSCF";"TAF-CBS-Proof",#N/A,FALSE,"TAF-CBS";"TAF-CSCAL-AAF-Proof",#N/A,FALSE,"TAF-CSCAL-AAF";"SI",#N/A,FALSE,"SI";"CU-CBS-Proof",#N/A,FALSE,"CU-CBS";"CU-CSRECFB-Proof",#N/A,FALSE,"CU-CSRECFB";"CU-CSRECRE-Proof",#N/A,FALSE,"CU-CSRECRE";"CU-CSCF-Proof",#N/A,FALSE,"CU-CSC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9" i="1" l="1"/>
  <c r="L89" i="1"/>
  <c r="K89" i="1"/>
  <c r="J89" i="1"/>
  <c r="I89" i="1"/>
  <c r="M87" i="1"/>
  <c r="L87" i="1"/>
  <c r="K87" i="1"/>
  <c r="J87" i="1"/>
  <c r="I87" i="1"/>
  <c r="B87" i="1"/>
  <c r="G17" i="3"/>
  <c r="I9" i="2" l="1"/>
  <c r="Z60" i="14"/>
  <c r="Y60" i="14"/>
  <c r="X60" i="14"/>
  <c r="W60" i="14"/>
  <c r="V60" i="14"/>
  <c r="U60" i="14"/>
  <c r="T60" i="14"/>
  <c r="S60" i="14"/>
  <c r="R60" i="14"/>
  <c r="Q60" i="14"/>
  <c r="P60" i="14"/>
  <c r="P62" i="14" s="1"/>
  <c r="O60" i="14"/>
  <c r="N60" i="14"/>
  <c r="Z58" i="14"/>
  <c r="Y58" i="14"/>
  <c r="Y62" i="14" s="1"/>
  <c r="X58" i="14"/>
  <c r="W58" i="14"/>
  <c r="W62" i="14" s="1"/>
  <c r="V58" i="14"/>
  <c r="V62" i="14"/>
  <c r="U58" i="14"/>
  <c r="T58" i="14"/>
  <c r="S58" i="14"/>
  <c r="S62" i="14" s="1"/>
  <c r="R58" i="14"/>
  <c r="Q58" i="14"/>
  <c r="P58" i="14"/>
  <c r="O58" i="14"/>
  <c r="N58" i="14"/>
  <c r="N62" i="14" s="1"/>
  <c r="M55" i="14"/>
  <c r="M60" i="14" s="1"/>
  <c r="L55" i="14"/>
  <c r="L60" i="14" s="1"/>
  <c r="K55" i="14"/>
  <c r="K60" i="14" s="1"/>
  <c r="J55" i="14"/>
  <c r="J60" i="14" s="1"/>
  <c r="I55" i="14"/>
  <c r="I60" i="14" s="1"/>
  <c r="H55" i="14"/>
  <c r="G55" i="14"/>
  <c r="F55" i="14"/>
  <c r="M54" i="14"/>
  <c r="M58" i="14" s="1"/>
  <c r="L54" i="14"/>
  <c r="L58" i="14" s="1"/>
  <c r="K54" i="14"/>
  <c r="K58" i="14" s="1"/>
  <c r="J54" i="14"/>
  <c r="J58" i="14" s="1"/>
  <c r="I54" i="14"/>
  <c r="I58" i="14" s="1"/>
  <c r="H54" i="14"/>
  <c r="H58" i="14" s="1"/>
  <c r="G54" i="14"/>
  <c r="G58" i="14" s="1"/>
  <c r="F54" i="14"/>
  <c r="AA52" i="14"/>
  <c r="AA51" i="14"/>
  <c r="H48" i="14"/>
  <c r="G48" i="14"/>
  <c r="F48" i="14"/>
  <c r="F60" i="14" s="1"/>
  <c r="AA47" i="14"/>
  <c r="Z39" i="14"/>
  <c r="Z41" i="14" s="1"/>
  <c r="Y39" i="14"/>
  <c r="Y66" i="14" s="1"/>
  <c r="X39" i="14"/>
  <c r="Z37" i="14"/>
  <c r="Y37" i="14"/>
  <c r="Y41" i="14" s="1"/>
  <c r="X37" i="14"/>
  <c r="V37" i="14"/>
  <c r="S37" i="14"/>
  <c r="R37" i="14"/>
  <c r="Q37" i="14"/>
  <c r="P37" i="14"/>
  <c r="P65" i="14" s="1"/>
  <c r="O37" i="14"/>
  <c r="N37" i="14"/>
  <c r="R35" i="14"/>
  <c r="Q35" i="14"/>
  <c r="P35" i="14"/>
  <c r="O35" i="14"/>
  <c r="N35" i="14"/>
  <c r="M35" i="14"/>
  <c r="L35" i="14"/>
  <c r="K35" i="14"/>
  <c r="J35" i="14"/>
  <c r="I35" i="14"/>
  <c r="H35" i="14"/>
  <c r="G35" i="14"/>
  <c r="F35" i="14"/>
  <c r="W34" i="14"/>
  <c r="AA34" i="14" s="1"/>
  <c r="T32" i="14"/>
  <c r="S32" i="14"/>
  <c r="R32" i="14"/>
  <c r="Q32" i="14"/>
  <c r="P32" i="14"/>
  <c r="O32" i="14"/>
  <c r="N32" i="14"/>
  <c r="M32" i="14"/>
  <c r="L32" i="14"/>
  <c r="K32" i="14"/>
  <c r="J32" i="14"/>
  <c r="I32" i="14"/>
  <c r="H32" i="14"/>
  <c r="G32" i="14"/>
  <c r="F32" i="14"/>
  <c r="W31" i="14"/>
  <c r="AA31" i="14" s="1"/>
  <c r="S29" i="14"/>
  <c r="R29" i="14"/>
  <c r="Q29" i="14"/>
  <c r="P29" i="14"/>
  <c r="O29" i="14"/>
  <c r="N29" i="14"/>
  <c r="M29" i="14"/>
  <c r="L29" i="14"/>
  <c r="K29" i="14"/>
  <c r="J29" i="14"/>
  <c r="I29" i="14"/>
  <c r="H29" i="14"/>
  <c r="G29" i="14"/>
  <c r="F29" i="14"/>
  <c r="W28" i="14"/>
  <c r="AA28" i="14"/>
  <c r="M25" i="14"/>
  <c r="L25" i="14"/>
  <c r="K25" i="14"/>
  <c r="J25" i="14"/>
  <c r="I25" i="14"/>
  <c r="H25" i="14"/>
  <c r="G25" i="14"/>
  <c r="F25" i="14"/>
  <c r="M24" i="14"/>
  <c r="M37" i="14" s="1"/>
  <c r="L24" i="14"/>
  <c r="L37" i="14" s="1"/>
  <c r="K24" i="14"/>
  <c r="K37" i="14" s="1"/>
  <c r="J24" i="14"/>
  <c r="J37" i="14"/>
  <c r="I24" i="14"/>
  <c r="I37" i="14" s="1"/>
  <c r="H24" i="14"/>
  <c r="H37" i="14"/>
  <c r="H65" i="14" s="1"/>
  <c r="G24" i="14"/>
  <c r="G37" i="14" s="1"/>
  <c r="F24" i="14"/>
  <c r="W22" i="14"/>
  <c r="W39" i="14"/>
  <c r="V22" i="14"/>
  <c r="V39" i="14" s="1"/>
  <c r="V66" i="14" s="1"/>
  <c r="U22" i="14"/>
  <c r="T22" i="14"/>
  <c r="S22" i="14"/>
  <c r="R22" i="14"/>
  <c r="Q22" i="14"/>
  <c r="P22" i="14"/>
  <c r="O22" i="14"/>
  <c r="N22" i="14"/>
  <c r="M22" i="14"/>
  <c r="L22" i="14"/>
  <c r="K22" i="14"/>
  <c r="J22" i="14"/>
  <c r="I22" i="14"/>
  <c r="H22" i="14"/>
  <c r="G22" i="14"/>
  <c r="F22" i="14"/>
  <c r="U21" i="14"/>
  <c r="U37" i="14"/>
  <c r="T19" i="14"/>
  <c r="S19" i="14"/>
  <c r="R19" i="14"/>
  <c r="Q19" i="14"/>
  <c r="P19" i="14"/>
  <c r="O19" i="14"/>
  <c r="N19" i="14"/>
  <c r="M19" i="14"/>
  <c r="L19" i="14"/>
  <c r="K19" i="14"/>
  <c r="J19" i="14"/>
  <c r="I19" i="14"/>
  <c r="H19" i="14"/>
  <c r="G19" i="14"/>
  <c r="F19" i="14"/>
  <c r="T18" i="14"/>
  <c r="AA18" i="14" s="1"/>
  <c r="U16" i="14"/>
  <c r="U39" i="14" s="1"/>
  <c r="U66" i="14" s="1"/>
  <c r="T16" i="14"/>
  <c r="S16" i="14"/>
  <c r="R16" i="14"/>
  <c r="R39" i="14" s="1"/>
  <c r="Q16" i="14"/>
  <c r="P16" i="14"/>
  <c r="O16" i="14"/>
  <c r="N16" i="14"/>
  <c r="M16" i="14"/>
  <c r="L16" i="14"/>
  <c r="K16" i="14"/>
  <c r="J16" i="14"/>
  <c r="I16" i="14"/>
  <c r="H16" i="14"/>
  <c r="G16" i="14"/>
  <c r="F16" i="14"/>
  <c r="AA15" i="14"/>
  <c r="Q12" i="14"/>
  <c r="P12" i="14"/>
  <c r="O12" i="14"/>
  <c r="N12" i="14"/>
  <c r="M12" i="14"/>
  <c r="L12" i="14"/>
  <c r="K12" i="14"/>
  <c r="J12" i="14"/>
  <c r="I12" i="14"/>
  <c r="H12" i="14"/>
  <c r="G12" i="14"/>
  <c r="F12" i="14"/>
  <c r="AA11" i="14"/>
  <c r="P9" i="14"/>
  <c r="O9" i="14"/>
  <c r="N9" i="14"/>
  <c r="M9" i="14"/>
  <c r="L9" i="14"/>
  <c r="K9" i="14"/>
  <c r="K39" i="14" s="1"/>
  <c r="J9" i="14"/>
  <c r="I9" i="14"/>
  <c r="H9" i="14"/>
  <c r="G9" i="14"/>
  <c r="F9" i="14"/>
  <c r="F39" i="14" s="1"/>
  <c r="AA8" i="14"/>
  <c r="S39" i="14"/>
  <c r="S41" i="14" s="1"/>
  <c r="U62" i="14"/>
  <c r="AA21" i="14"/>
  <c r="G4" i="14"/>
  <c r="H4" i="14" s="1"/>
  <c r="I4" i="14" s="1"/>
  <c r="J4" i="14" s="1"/>
  <c r="K4" i="14" s="1"/>
  <c r="L4" i="14" s="1"/>
  <c r="M4" i="14" s="1"/>
  <c r="N4" i="14" s="1"/>
  <c r="O4" i="14" s="1"/>
  <c r="P4" i="14" s="1"/>
  <c r="Q4" i="14" s="1"/>
  <c r="R4" i="14" s="1"/>
  <c r="S4" i="14" s="1"/>
  <c r="T4" i="14" s="1"/>
  <c r="U4" i="14" s="1"/>
  <c r="V4" i="14" s="1"/>
  <c r="W4" i="14" s="1"/>
  <c r="J48" i="10"/>
  <c r="I30" i="10"/>
  <c r="J17" i="10"/>
  <c r="I17" i="10"/>
  <c r="A66" i="10"/>
  <c r="A65" i="10"/>
  <c r="H40" i="10"/>
  <c r="G40" i="10"/>
  <c r="F40" i="10"/>
  <c r="E40" i="10"/>
  <c r="D40" i="10"/>
  <c r="H30" i="10"/>
  <c r="G30" i="10"/>
  <c r="F30" i="10"/>
  <c r="F36" i="10" s="1"/>
  <c r="E30" i="10"/>
  <c r="D30" i="10"/>
  <c r="H17" i="10"/>
  <c r="H36" i="10" s="1"/>
  <c r="G17" i="10"/>
  <c r="F17" i="10"/>
  <c r="E17" i="10"/>
  <c r="E36" i="10"/>
  <c r="D17" i="10"/>
  <c r="F34" i="9"/>
  <c r="F33" i="9"/>
  <c r="F32" i="9"/>
  <c r="F31" i="9"/>
  <c r="F30" i="9"/>
  <c r="F26" i="9"/>
  <c r="F24" i="9"/>
  <c r="F23" i="9"/>
  <c r="F22" i="9"/>
  <c r="F18" i="9"/>
  <c r="F16" i="9"/>
  <c r="F15" i="9"/>
  <c r="F14" i="9"/>
  <c r="F10" i="9"/>
  <c r="F8" i="9"/>
  <c r="F7" i="9"/>
  <c r="F6" i="9"/>
  <c r="H40" i="1"/>
  <c r="G40" i="1"/>
  <c r="F40" i="1"/>
  <c r="E40" i="1"/>
  <c r="D40" i="1"/>
  <c r="A38" i="6"/>
  <c r="A40" i="4"/>
  <c r="A45" i="3"/>
  <c r="A40" i="2"/>
  <c r="H68" i="1"/>
  <c r="H73" i="1" s="1"/>
  <c r="G68" i="1"/>
  <c r="G73" i="1" s="1"/>
  <c r="F68" i="1"/>
  <c r="F73" i="1" s="1"/>
  <c r="E68" i="1"/>
  <c r="E73" i="1" s="1"/>
  <c r="D68" i="1"/>
  <c r="D73" i="1" s="1"/>
  <c r="H59" i="1"/>
  <c r="G59" i="1"/>
  <c r="F59" i="1"/>
  <c r="E59" i="1"/>
  <c r="D59" i="1"/>
  <c r="D58" i="1"/>
  <c r="D56" i="1"/>
  <c r="E53" i="1"/>
  <c r="E56" i="1" s="1"/>
  <c r="H50" i="1"/>
  <c r="G50" i="1"/>
  <c r="F50" i="1"/>
  <c r="E50" i="1"/>
  <c r="D50" i="1"/>
  <c r="H49" i="1"/>
  <c r="G49" i="1"/>
  <c r="F49" i="1"/>
  <c r="E49" i="1"/>
  <c r="D49" i="1"/>
  <c r="H42" i="1"/>
  <c r="G42" i="1"/>
  <c r="F42" i="1"/>
  <c r="E42" i="1"/>
  <c r="D42" i="1"/>
  <c r="H31" i="1"/>
  <c r="G31" i="1"/>
  <c r="F31" i="1"/>
  <c r="E31" i="1"/>
  <c r="D31" i="1"/>
  <c r="H18" i="1"/>
  <c r="G18" i="1"/>
  <c r="F18" i="1"/>
  <c r="E18" i="1"/>
  <c r="D18" i="1"/>
  <c r="A1" i="6"/>
  <c r="A1" i="4"/>
  <c r="A1" i="3"/>
  <c r="A1" i="2"/>
  <c r="D89" i="1"/>
  <c r="B89" i="1"/>
  <c r="D87" i="1"/>
  <c r="E89" i="1"/>
  <c r="F87" i="1"/>
  <c r="E87" i="1"/>
  <c r="F89" i="1"/>
  <c r="G87" i="1"/>
  <c r="G89" i="1"/>
  <c r="H87" i="1"/>
  <c r="H89" i="1"/>
  <c r="F17" i="9"/>
  <c r="F9" i="9"/>
  <c r="F25" i="9"/>
  <c r="H2" i="10"/>
  <c r="G2" i="10" s="1"/>
  <c r="F2" i="10" s="1"/>
  <c r="E2" i="10" s="1"/>
  <c r="D2" i="10" s="1"/>
  <c r="D36" i="10"/>
  <c r="I48" i="10"/>
  <c r="I34" i="10"/>
  <c r="I36" i="10" s="1"/>
  <c r="I40" i="10" s="1"/>
  <c r="J30" i="10"/>
  <c r="J34" i="10" s="1"/>
  <c r="J36" i="10" s="1"/>
  <c r="J40" i="10" s="1"/>
  <c r="I8" i="3"/>
  <c r="I10" i="3"/>
  <c r="I15" i="3"/>
  <c r="I13" i="2"/>
  <c r="R65" i="14" l="1"/>
  <c r="G36" i="10"/>
  <c r="O39" i="14"/>
  <c r="R41" i="14"/>
  <c r="U41" i="14"/>
  <c r="AA25" i="14"/>
  <c r="Z65" i="14"/>
  <c r="H39" i="14"/>
  <c r="H41" i="14" s="1"/>
  <c r="X41" i="14"/>
  <c r="T62" i="14"/>
  <c r="M39" i="14"/>
  <c r="M41" i="14" s="1"/>
  <c r="AA22" i="14"/>
  <c r="I7" i="2"/>
  <c r="I12" i="2"/>
  <c r="J62" i="14"/>
  <c r="J65" i="14"/>
  <c r="M65" i="14"/>
  <c r="M62" i="14"/>
  <c r="P39" i="14"/>
  <c r="AA29" i="14"/>
  <c r="AA35" i="14"/>
  <c r="G60" i="14"/>
  <c r="N65" i="14"/>
  <c r="R62" i="14"/>
  <c r="X65" i="14"/>
  <c r="Z69" i="14"/>
  <c r="X66" i="14"/>
  <c r="U65" i="14"/>
  <c r="U69" i="14" s="1"/>
  <c r="L39" i="14"/>
  <c r="L41" i="14" s="1"/>
  <c r="Y65" i="14"/>
  <c r="Y69" i="14" s="1"/>
  <c r="Z66" i="14"/>
  <c r="X62" i="14"/>
  <c r="G39" i="14"/>
  <c r="AA12" i="14"/>
  <c r="Q39" i="14"/>
  <c r="T39" i="14"/>
  <c r="T66" i="14" s="1"/>
  <c r="W37" i="14"/>
  <c r="AA32" i="14"/>
  <c r="V65" i="14"/>
  <c r="Z62" i="14"/>
  <c r="S66" i="14"/>
  <c r="W66" i="14"/>
  <c r="I5" i="2"/>
  <c r="I9" i="3"/>
  <c r="I6" i="2"/>
  <c r="I11" i="2"/>
  <c r="I8" i="2"/>
  <c r="I5" i="3"/>
  <c r="H32" i="1"/>
  <c r="G32" i="1"/>
  <c r="F32" i="1"/>
  <c r="D32" i="1"/>
  <c r="I6" i="3"/>
  <c r="I14" i="3"/>
  <c r="I16" i="3"/>
  <c r="I13" i="3"/>
  <c r="I10" i="4"/>
  <c r="I4" i="3"/>
  <c r="I12" i="4"/>
  <c r="M1" i="5"/>
  <c r="I11" i="3"/>
  <c r="I12" i="3"/>
  <c r="I11" i="4"/>
  <c r="I9" i="4"/>
  <c r="P66" i="14"/>
  <c r="P69" i="14" s="1"/>
  <c r="P41" i="14"/>
  <c r="I65" i="14"/>
  <c r="I62" i="14"/>
  <c r="Q41" i="14"/>
  <c r="Q66" i="14"/>
  <c r="W65" i="14"/>
  <c r="W69" i="14" s="1"/>
  <c r="W41" i="14"/>
  <c r="F66" i="14"/>
  <c r="K66" i="14"/>
  <c r="V69" i="14"/>
  <c r="O66" i="14"/>
  <c r="AA9" i="14"/>
  <c r="G41" i="14"/>
  <c r="V41" i="14"/>
  <c r="F58" i="14"/>
  <c r="AA54" i="14"/>
  <c r="L65" i="14"/>
  <c r="L62" i="14"/>
  <c r="L66" i="14"/>
  <c r="Q65" i="14"/>
  <c r="Q62" i="14"/>
  <c r="R66" i="14"/>
  <c r="R69" i="14" s="1"/>
  <c r="K62" i="14"/>
  <c r="I39" i="14"/>
  <c r="I66" i="14" s="1"/>
  <c r="AA16" i="14"/>
  <c r="J39" i="14"/>
  <c r="J41" i="14" s="1"/>
  <c r="N39" i="14"/>
  <c r="AA48" i="14"/>
  <c r="H60" i="14"/>
  <c r="G65" i="14"/>
  <c r="M66" i="14"/>
  <c r="M69" i="14" s="1"/>
  <c r="E58" i="1"/>
  <c r="F53" i="1"/>
  <c r="D60" i="1"/>
  <c r="D61" i="1"/>
  <c r="AA19" i="14"/>
  <c r="F37" i="14"/>
  <c r="AA24" i="14"/>
  <c r="K41" i="14"/>
  <c r="O41" i="14"/>
  <c r="S65" i="14"/>
  <c r="S69" i="14" s="1"/>
  <c r="K65" i="14"/>
  <c r="AA55" i="14"/>
  <c r="O62" i="14"/>
  <c r="O65" i="14"/>
  <c r="O69" i="14" s="1"/>
  <c r="T37" i="14"/>
  <c r="E32" i="1"/>
  <c r="G66" i="14" l="1"/>
  <c r="AA60" i="14"/>
  <c r="G62" i="14"/>
  <c r="X69" i="14"/>
  <c r="G69" i="14"/>
  <c r="J66" i="14"/>
  <c r="J69" i="14" s="1"/>
  <c r="L69" i="14"/>
  <c r="Q69" i="14"/>
  <c r="I10" i="2"/>
  <c r="I4" i="2"/>
  <c r="I7" i="3"/>
  <c r="F58" i="1"/>
  <c r="G53" i="1"/>
  <c r="F56" i="1"/>
  <c r="AA37" i="14"/>
  <c r="F41" i="14"/>
  <c r="E61" i="1"/>
  <c r="E60" i="1"/>
  <c r="N66" i="14"/>
  <c r="N69" i="14" s="1"/>
  <c r="N41" i="14"/>
  <c r="T41" i="14"/>
  <c r="T65" i="14"/>
  <c r="T69" i="14" s="1"/>
  <c r="F65" i="14"/>
  <c r="F62" i="14"/>
  <c r="AA58" i="14"/>
  <c r="I69" i="14"/>
  <c r="L1" i="5"/>
  <c r="I14" i="2"/>
  <c r="K69" i="14"/>
  <c r="I41" i="14"/>
  <c r="AA39" i="14"/>
  <c r="H66" i="14"/>
  <c r="H69" i="14" s="1"/>
  <c r="H62" i="14"/>
  <c r="I8" i="4"/>
  <c r="I13" i="4"/>
  <c r="I15" i="2"/>
  <c r="K1" i="5"/>
  <c r="AA62" i="14" l="1"/>
  <c r="H17" i="3"/>
  <c r="I17" i="3" s="1"/>
  <c r="AA66" i="14"/>
  <c r="G58" i="1"/>
  <c r="G56" i="1"/>
  <c r="H53" i="1"/>
  <c r="F69" i="14"/>
  <c r="AA65" i="14"/>
  <c r="AA41" i="14"/>
  <c r="F60" i="1"/>
  <c r="F61" i="1"/>
  <c r="I4" i="4"/>
  <c r="J1" i="5" l="1"/>
  <c r="I1" i="5"/>
  <c r="G60" i="1"/>
  <c r="G61" i="1"/>
  <c r="H58" i="1"/>
  <c r="H56" i="1"/>
  <c r="I5" i="4"/>
  <c r="AA69" i="14"/>
  <c r="H61" i="1" l="1"/>
  <c r="H60" i="1"/>
  <c r="I6" i="4"/>
  <c r="H2" i="1"/>
  <c r="H1" i="5" s="1"/>
  <c r="H86" i="1" l="1"/>
  <c r="G2" i="1"/>
  <c r="G1" i="5" s="1"/>
  <c r="G86" i="1" l="1"/>
  <c r="F2" i="1"/>
  <c r="F1" i="5" s="1"/>
  <c r="E2" i="1" l="1"/>
  <c r="E1" i="5" s="1"/>
  <c r="F86" i="1"/>
  <c r="D2" i="1" l="1"/>
  <c r="E86" i="1"/>
  <c r="D86" i="1" l="1"/>
  <c r="D1" i="5"/>
</calcChain>
</file>

<file path=xl/sharedStrings.xml><?xml version="1.0" encoding="utf-8"?>
<sst xmlns="http://schemas.openxmlformats.org/spreadsheetml/2006/main" count="721" uniqueCount="377">
  <si>
    <t>Expenditures</t>
  </si>
  <si>
    <t>Stmt. Of Rev &amp; Exp - All governmental funds</t>
  </si>
  <si>
    <t>Revenue</t>
  </si>
  <si>
    <t>Property taxes</t>
  </si>
  <si>
    <t>Taxes</t>
  </si>
  <si>
    <t>Charges for services</t>
  </si>
  <si>
    <t>State</t>
  </si>
  <si>
    <t>Federal</t>
  </si>
  <si>
    <t>Licenses &amp; fees</t>
  </si>
  <si>
    <t>Interest &amp; rent</t>
  </si>
  <si>
    <t>Other</t>
  </si>
  <si>
    <t>total revenue</t>
  </si>
  <si>
    <t>Police &amp; fire</t>
  </si>
  <si>
    <t>Other public safety</t>
  </si>
  <si>
    <t>Roads &amp; bridges</t>
  </si>
  <si>
    <t>Public transportation</t>
  </si>
  <si>
    <t xml:space="preserve">Roads </t>
  </si>
  <si>
    <t>Health &amp; welfare</t>
  </si>
  <si>
    <t>Community &amp; economic development</t>
  </si>
  <si>
    <t>Parks &amp; recreation</t>
  </si>
  <si>
    <t>Other public works</t>
  </si>
  <si>
    <t>Capital outlay</t>
  </si>
  <si>
    <t>Debt service</t>
  </si>
  <si>
    <t>Unallocated fringes &amp; insurance</t>
  </si>
  <si>
    <t>Interfund transfers (net)</t>
  </si>
  <si>
    <t>total expenditures</t>
  </si>
  <si>
    <t>Surplus (shortfall)</t>
  </si>
  <si>
    <t>General government</t>
  </si>
  <si>
    <t>Total expenditures</t>
  </si>
  <si>
    <t>Extraordinary/ Special items</t>
  </si>
  <si>
    <t>Interfund transfers out</t>
  </si>
  <si>
    <t>Fringe benefits not directly allocated to departments</t>
  </si>
  <si>
    <t>Recreation &amp; culture</t>
  </si>
  <si>
    <t>Other cultural activities</t>
  </si>
  <si>
    <t>Library</t>
  </si>
  <si>
    <t>Oher community development</t>
  </si>
  <si>
    <t>Economic development</t>
  </si>
  <si>
    <t>Planning &amp; zoning</t>
  </si>
  <si>
    <t>Public housing</t>
  </si>
  <si>
    <t>Other health &amp; welfare</t>
  </si>
  <si>
    <t>Veterans' programs</t>
  </si>
  <si>
    <t>Area agency on aging</t>
  </si>
  <si>
    <t>Human services</t>
  </si>
  <si>
    <t>Child care</t>
  </si>
  <si>
    <t>Ambulance</t>
  </si>
  <si>
    <t>Mental health</t>
  </si>
  <si>
    <t>Medical examiner</t>
  </si>
  <si>
    <t>Hospital</t>
  </si>
  <si>
    <t>Alcoholism &amp; substance abuse</t>
  </si>
  <si>
    <t>Health dept.</t>
  </si>
  <si>
    <t>Water or sewer</t>
  </si>
  <si>
    <t>Airports</t>
  </si>
  <si>
    <t>Electricity</t>
  </si>
  <si>
    <t>Trash disposal &amp; landfilling</t>
  </si>
  <si>
    <t>Building regulations</t>
  </si>
  <si>
    <t>Jail</t>
  </si>
  <si>
    <t>Dispatch (if separate)</t>
  </si>
  <si>
    <t>Combined public safety</t>
  </si>
  <si>
    <t>Fire</t>
  </si>
  <si>
    <t>Police</t>
  </si>
  <si>
    <t>Judicial</t>
  </si>
  <si>
    <t>All other gen gov.</t>
  </si>
  <si>
    <t>Building &amp; grounds</t>
  </si>
  <si>
    <t>Finance</t>
  </si>
  <si>
    <t>Elections</t>
  </si>
  <si>
    <t>Clerk</t>
  </si>
  <si>
    <t>Assessing</t>
  </si>
  <si>
    <t>Treasurer</t>
  </si>
  <si>
    <t>Chief executive</t>
  </si>
  <si>
    <t>Legislative</t>
  </si>
  <si>
    <t>EXPENDITURES</t>
  </si>
  <si>
    <t>Total revenue</t>
  </si>
  <si>
    <t>Interfund transfers In</t>
  </si>
  <si>
    <t>Debt issuance</t>
  </si>
  <si>
    <t>Other  refunds &amp; rebates</t>
  </si>
  <si>
    <t>Ambulance services</t>
  </si>
  <si>
    <t>Contributions</t>
  </si>
  <si>
    <t>Sale of fixed assets</t>
  </si>
  <si>
    <t>Special assessments</t>
  </si>
  <si>
    <t>Misc. other revenue</t>
  </si>
  <si>
    <t>Rents &amp; royalties</t>
  </si>
  <si>
    <t>Interest &amp; dividends</t>
  </si>
  <si>
    <t>Fines, penalties &amp; forfeits</t>
  </si>
  <si>
    <t>All other fees</t>
  </si>
  <si>
    <t>Parking fees</t>
  </si>
  <si>
    <t>Parks and recreation fees</t>
  </si>
  <si>
    <t>Other charges for services</t>
  </si>
  <si>
    <t>Police fees</t>
  </si>
  <si>
    <t>Fire run charges</t>
  </si>
  <si>
    <t>All other statutory fees</t>
  </si>
  <si>
    <t>Register of Deeds fees</t>
  </si>
  <si>
    <t>Election charges</t>
  </si>
  <si>
    <t>Clerk's office charges</t>
  </si>
  <si>
    <t>Statutory court fees &amp; charges</t>
  </si>
  <si>
    <t>Court-ordered fees and charges</t>
  </si>
  <si>
    <t>Local donations - other</t>
  </si>
  <si>
    <t>Local donations - transit</t>
  </si>
  <si>
    <t xml:space="preserve">Local donations - Gas, water, electric </t>
  </si>
  <si>
    <t>Local donations - housing &amp; community development</t>
  </si>
  <si>
    <t>Local donations - culture &amp; recreation</t>
  </si>
  <si>
    <t>Local donations - welfare</t>
  </si>
  <si>
    <t>Local donations - health and/or hospitals</t>
  </si>
  <si>
    <t>Local donations - sanitation</t>
  </si>
  <si>
    <t>Local donations - streets &amp; highways</t>
  </si>
  <si>
    <t>Local donations - public safety</t>
  </si>
  <si>
    <t>Local donations - general government</t>
  </si>
  <si>
    <t>State aid - other</t>
  </si>
  <si>
    <t>State aid - transit</t>
  </si>
  <si>
    <t>State aid - electric</t>
  </si>
  <si>
    <t>State aid - water</t>
  </si>
  <si>
    <t>State aid - housing &amp; community development</t>
  </si>
  <si>
    <t>State aid - culture &amp; recreation</t>
  </si>
  <si>
    <t>State aid - welfare</t>
  </si>
  <si>
    <t>State aid - health and/or hospitals</t>
  </si>
  <si>
    <t>State aid - sanitation</t>
  </si>
  <si>
    <t>State aid - streets &amp; bridges</t>
  </si>
  <si>
    <t>State pass-thru of act 51(Streets)</t>
  </si>
  <si>
    <t>State aid - public safety</t>
  </si>
  <si>
    <t>State swamp and land taxes</t>
  </si>
  <si>
    <t>State payment in lieu of taxes</t>
  </si>
  <si>
    <t>State aid - general government</t>
  </si>
  <si>
    <t>State revenue sharing</t>
  </si>
  <si>
    <t>Federal govt. grants - other</t>
  </si>
  <si>
    <t>Federal govt. grants - transit</t>
  </si>
  <si>
    <t>Federal govt. grants - electric</t>
  </si>
  <si>
    <t>Federal govt. grants - water</t>
  </si>
  <si>
    <t>Federal govt. grants - housing &amp; community development</t>
  </si>
  <si>
    <t>Federal govt. grants - culture &amp; recreation</t>
  </si>
  <si>
    <t>Federal govt. grants - welfare</t>
  </si>
  <si>
    <t>Federal govt. grants - health and/or hospitals</t>
  </si>
  <si>
    <t>Federal govt. grants - sanitation</t>
  </si>
  <si>
    <t>Federal govt. grants - streets &amp; highways</t>
  </si>
  <si>
    <t>Federal govt. grants - public safety</t>
  </si>
  <si>
    <t>Federal govt. grants - general government</t>
  </si>
  <si>
    <t>Non-business licenses &amp; permits</t>
  </si>
  <si>
    <t>Business licenses &amp; permits</t>
  </si>
  <si>
    <t>Income tax</t>
  </si>
  <si>
    <t>Industrial facilities tax</t>
  </si>
  <si>
    <t>Hotel/ motel tax</t>
  </si>
  <si>
    <t>Trailer taxes</t>
  </si>
  <si>
    <t>Commercial facilities tax</t>
  </si>
  <si>
    <t>Tax reverted property</t>
  </si>
  <si>
    <t>REVENUE</t>
  </si>
  <si>
    <t>All Governmental Funds (col. A &amp; b)</t>
  </si>
  <si>
    <t>Description</t>
  </si>
  <si>
    <t>F-65 line</t>
  </si>
  <si>
    <t>% change</t>
  </si>
  <si>
    <t>REVENUES</t>
  </si>
  <si>
    <t>Financial position - All governmental funds</t>
  </si>
  <si>
    <t>Total fund balance</t>
  </si>
  <si>
    <t>Fund balance, by component:</t>
  </si>
  <si>
    <t>total fund balance</t>
  </si>
  <si>
    <t>Liabilities not counted on a modified-accrual basis:</t>
  </si>
  <si>
    <t>Assets</t>
  </si>
  <si>
    <t>Percent funded</t>
  </si>
  <si>
    <t>Landfill closure &amp; postclosure care</t>
  </si>
  <si>
    <t>Employee compensated absences</t>
  </si>
  <si>
    <t>Uninsured losses</t>
  </si>
  <si>
    <t>Other claims &amp; contingencies</t>
  </si>
  <si>
    <t>Debt:</t>
  </si>
  <si>
    <t>Unfunded</t>
  </si>
  <si>
    <t>Structured debt</t>
  </si>
  <si>
    <t>OTHER LONG TERM OBLIGATIONS</t>
  </si>
  <si>
    <t>Per capita information</t>
  </si>
  <si>
    <t>Population information</t>
  </si>
  <si>
    <t>Undesignated fund balance</t>
  </si>
  <si>
    <t>Designated</t>
  </si>
  <si>
    <t>Reserved</t>
  </si>
  <si>
    <t>Pensions</t>
  </si>
  <si>
    <t>OPEB</t>
  </si>
  <si>
    <t>Sum of all pension &amp; OPEB plans</t>
  </si>
  <si>
    <t>Aggregation</t>
  </si>
  <si>
    <t>Revenue:</t>
  </si>
  <si>
    <t>Expendtiures:</t>
  </si>
  <si>
    <t>Graph data, pulled from above data:</t>
  </si>
  <si>
    <t>Unfunded (Overfunded)</t>
  </si>
  <si>
    <t>Capital leases</t>
  </si>
  <si>
    <t>Other contractual debt</t>
  </si>
  <si>
    <t>1. Where our money comes from (all governmental funds)</t>
  </si>
  <si>
    <t xml:space="preserve">2. Compared to the prior year </t>
  </si>
  <si>
    <t>3. Revenue sources per capita - compared to the prior year</t>
  </si>
  <si>
    <t xml:space="preserve">4. Historical trends of individual sources </t>
  </si>
  <si>
    <t>1. Where we spend our money (all governmental funds)</t>
  </si>
  <si>
    <t>3. Spending per capita - compared to the prior year</t>
  </si>
  <si>
    <t>4. Historical trends of individual departments:</t>
  </si>
  <si>
    <t>1. How have we managed our governmental fund resources (fund balance)?</t>
  </si>
  <si>
    <t>3. Fund balance per capita - compared to the prior year</t>
  </si>
  <si>
    <t xml:space="preserve">4. Historical trends of individual components </t>
  </si>
  <si>
    <t>1. Pension funding status</t>
  </si>
  <si>
    <t>2. Retiree Health care funding status</t>
  </si>
  <si>
    <t>3. Percent funded - compared to the prior year</t>
  </si>
  <si>
    <t>4. Long Term Debt obligations:</t>
  </si>
  <si>
    <t>5. Debt &amp; other long term obligations per capita - compared to the prior year</t>
  </si>
  <si>
    <t xml:space="preserve">FINANCIAL POSITION </t>
  </si>
  <si>
    <t>Date Input Page</t>
  </si>
  <si>
    <t xml:space="preserve">DPW </t>
  </si>
  <si>
    <t>FUND BALANCE</t>
  </si>
  <si>
    <t>- Reserved/ Restricted</t>
  </si>
  <si>
    <t>- Designated</t>
  </si>
  <si>
    <t>- Undesignated/ unreserved/ unrestricted</t>
  </si>
  <si>
    <t>Total equity</t>
  </si>
  <si>
    <t>Actuarial Liability</t>
  </si>
  <si>
    <t>Contact information:</t>
  </si>
  <si>
    <t>CY</t>
  </si>
  <si>
    <t>PY1</t>
  </si>
  <si>
    <t>PY2</t>
  </si>
  <si>
    <t>PY3</t>
  </si>
  <si>
    <t>PY4</t>
  </si>
  <si>
    <t>PY5</t>
  </si>
  <si>
    <t>Map #</t>
  </si>
  <si>
    <t>41100</t>
  </si>
  <si>
    <t>41200</t>
  </si>
  <si>
    <t>41310</t>
  </si>
  <si>
    <t>41320</t>
  </si>
  <si>
    <t>41400</t>
  </si>
  <si>
    <t>Licenses &amp; permits</t>
  </si>
  <si>
    <t>Fines &amp; forfeitures</t>
  </si>
  <si>
    <t>41500</t>
  </si>
  <si>
    <t>41700</t>
  </si>
  <si>
    <t>51100</t>
  </si>
  <si>
    <t>5130*</t>
  </si>
  <si>
    <t>51400</t>
  </si>
  <si>
    <t>51500</t>
  </si>
  <si>
    <t>51700</t>
  </si>
  <si>
    <t>51900</t>
  </si>
  <si>
    <t>51950</t>
  </si>
  <si>
    <t>Other revenue</t>
  </si>
  <si>
    <t>Sale of debt or assets</t>
  </si>
  <si>
    <t>see below</t>
  </si>
  <si>
    <t>premium or discount</t>
  </si>
  <si>
    <t>Payment to refunding agent</t>
  </si>
  <si>
    <t>Proceeds from debt</t>
  </si>
  <si>
    <t>42800</t>
  </si>
  <si>
    <t>42801</t>
  </si>
  <si>
    <t>52600</t>
  </si>
  <si>
    <t>Net interfund transfers</t>
  </si>
  <si>
    <t>Transfers in</t>
  </si>
  <si>
    <t>Transfers out</t>
  </si>
  <si>
    <t>total</t>
  </si>
  <si>
    <t>Net Interfund transfers</t>
  </si>
  <si>
    <t>429*</t>
  </si>
  <si>
    <t>General Fund</t>
  </si>
  <si>
    <t>Debt service funds</t>
  </si>
  <si>
    <t>Cap proj funds</t>
  </si>
  <si>
    <t xml:space="preserve"> Permanent funds</t>
  </si>
  <si>
    <t>hard-enter</t>
  </si>
  <si>
    <t>22300</t>
  </si>
  <si>
    <t>22305</t>
  </si>
  <si>
    <t>22310</t>
  </si>
  <si>
    <t>22610</t>
  </si>
  <si>
    <t>22600</t>
  </si>
  <si>
    <t>Bonds &amp; contracts payable</t>
  </si>
  <si>
    <t>Total long term debt (excl. pension &amp; RHC)</t>
  </si>
  <si>
    <t>P&amp;F</t>
  </si>
  <si>
    <t>Total</t>
  </si>
  <si>
    <t>valuation date:</t>
  </si>
  <si>
    <t>Date of actuarial valuation:</t>
  </si>
  <si>
    <t>Before publishing the spreadsheet to your website, we highly recommend you "hide" the Data Input Tab and the F-65 Crosswalk Tab so that this document will be more user-friendly.  To hide a tab, right click on the tab and select "Hide".</t>
  </si>
  <si>
    <t>On the first two tabs of the Citizens' Guide (revenue and expenditures), table number 4 has been built as an interactive chart.  When this is put on your website, the user can choose any revenue (expenditure) from the drop-down list and see the historical trend for that particular revenue (expenditure).</t>
  </si>
  <si>
    <r>
      <t xml:space="preserve">     </t>
    </r>
    <r>
      <rPr>
        <sz val="11"/>
        <color indexed="8"/>
        <rFont val="Arial"/>
        <family val="2"/>
      </rPr>
      <t>●</t>
    </r>
    <r>
      <rPr>
        <sz val="11"/>
        <color indexed="8"/>
        <rFont val="Arial"/>
        <family val="2"/>
      </rPr>
      <t xml:space="preserve">  Rows 79-83 are grayed out and should be ignored.  This section is necessary in order for the interactive revenue and expenditure charts to operate properly.</t>
    </r>
  </si>
  <si>
    <r>
      <t xml:space="preserve">    </t>
    </r>
    <r>
      <rPr>
        <sz val="11"/>
        <color indexed="8"/>
        <rFont val="Arial"/>
        <family val="2"/>
      </rPr>
      <t>●</t>
    </r>
    <r>
      <rPr>
        <sz val="11"/>
        <color indexed="8"/>
        <rFont val="Arial"/>
        <family val="2"/>
      </rPr>
      <t xml:space="preserve">  Row 69 presents population information.  This is presented so that we can compute measures on a per-capita basis, and will make it easier when you want to do comparisons with other local units in the future.  For 2010, the population count should agree with the U.S. census figures.  For all other years, estimates of population are generally available through your regional council of governments.</t>
    </r>
  </si>
  <si>
    <r>
      <t xml:space="preserve">     </t>
    </r>
    <r>
      <rPr>
        <sz val="11"/>
        <color indexed="8"/>
        <rFont val="Arial"/>
        <family val="2"/>
      </rPr>
      <t>●</t>
    </r>
    <r>
      <rPr>
        <sz val="11"/>
        <color indexed="8"/>
        <rFont val="Arial"/>
        <family val="2"/>
      </rPr>
      <t xml:space="preserve">  Rows 57 through 67 present the debt information from the "long term debt account group."  In other words, this represents all </t>
    </r>
    <r>
      <rPr>
        <u/>
        <sz val="11"/>
        <color indexed="8"/>
        <rFont val="Arial"/>
        <family val="2"/>
      </rPr>
      <t>governmental</t>
    </r>
    <r>
      <rPr>
        <sz val="11"/>
        <color indexed="8"/>
        <rFont val="Arial"/>
        <family val="2"/>
      </rPr>
      <t xml:space="preserve"> liabilities not already reported in the funds themselves.  This information generally can be found in the footnote disclosures of your financial statements.</t>
    </r>
  </si>
  <si>
    <t xml:space="preserve">        »  Many local units only have every other year (or every third year) information related to the actuarial accrued liability (AAL) for retiree health care plans.  For those communities, we recommend extrapolating the information between valuations so that a fair picture can still be obtained.  For example:  if the 2007 AAL was $5 million and the 2010 AAL was $8 million, you could extrapolate to $6 million for 2008 and $7 million for 2009. </t>
  </si>
  <si>
    <t xml:space="preserve">        »  This information should be in the footnote disclosures of your annual financial statements; it is also available in your actuarial valuations.</t>
  </si>
  <si>
    <r>
      <t xml:space="preserve">     </t>
    </r>
    <r>
      <rPr>
        <sz val="11"/>
        <color indexed="8"/>
        <rFont val="Arial"/>
        <family val="2"/>
      </rPr>
      <t>●</t>
    </r>
    <r>
      <rPr>
        <sz val="11"/>
        <color indexed="8"/>
        <rFont val="Arial"/>
        <family val="2"/>
      </rPr>
      <t xml:space="preserve">  Rows 39 through 54 presents the funded status of all "defined benefit" employee benefit plans (pension plans, retiree health care, or any other OPEB plans.)</t>
    </r>
  </si>
  <si>
    <t xml:space="preserve">         »  If you have any fund balance categories that are not being used by your local unit (i.e., you have no reservations or you have no designation), please "hide" those rows on the data input sheet.  This will remove them from the graphs.</t>
  </si>
  <si>
    <r>
      <t xml:space="preserve">         » This should include the General Fund </t>
    </r>
    <r>
      <rPr>
        <u/>
        <sz val="11"/>
        <color indexed="8"/>
        <rFont val="Arial"/>
        <family val="2"/>
      </rPr>
      <t>plus</t>
    </r>
    <r>
      <rPr>
        <sz val="11"/>
        <color indexed="8"/>
        <rFont val="Arial"/>
        <family val="2"/>
      </rPr>
      <t xml:space="preserve"> all special revenue, debt service, capital project, and permanent funds (if you are using the F-65, this is the sum of columns (a) and (b).</t>
    </r>
  </si>
  <si>
    <r>
      <t xml:space="preserve">     </t>
    </r>
    <r>
      <rPr>
        <sz val="11"/>
        <color indexed="8"/>
        <rFont val="Arial"/>
        <family val="2"/>
      </rPr>
      <t>●</t>
    </r>
    <r>
      <rPr>
        <sz val="11"/>
        <color indexed="8"/>
        <rFont val="Arial"/>
        <family val="2"/>
      </rPr>
      <t xml:space="preserve">  Rows 31 through 35 present the fund balance as of the balance sheet date;</t>
    </r>
  </si>
  <si>
    <t xml:space="preserve">         »  If you have any revenue or expenditure categories that are not being used by your local unit, please "hide" those rows on the data input sheet.  This will remove them from the graphs so that the graphical presentation will be easier for the citizen to understand.  This will be very common; for instance, row 27-extraordinary/special items, is quite uncommon to use. </t>
  </si>
  <si>
    <r>
      <t xml:space="preserve">         »  This should include the General Fund </t>
    </r>
    <r>
      <rPr>
        <u/>
        <sz val="11"/>
        <color indexed="8"/>
        <rFont val="Arial"/>
        <family val="2"/>
      </rPr>
      <t>plus</t>
    </r>
    <r>
      <rPr>
        <sz val="11"/>
        <color indexed="8"/>
        <rFont val="Arial"/>
        <family val="2"/>
      </rPr>
      <t xml:space="preserve"> all special revenue, debt service, capital project, and permanent funds (if you are using the F-65, this is the sum of columns (a) and (b).</t>
    </r>
  </si>
  <si>
    <r>
      <t xml:space="preserve">     </t>
    </r>
    <r>
      <rPr>
        <sz val="11"/>
        <color indexed="8"/>
        <rFont val="Arial"/>
        <family val="2"/>
      </rPr>
      <t>●</t>
    </r>
    <r>
      <rPr>
        <sz val="11"/>
        <color indexed="8"/>
        <rFont val="Arial"/>
        <family val="2"/>
      </rPr>
      <t xml:space="preserve">  Rows 4 through 29 present the revenues and expenditures from </t>
    </r>
    <r>
      <rPr>
        <u/>
        <sz val="11"/>
        <color indexed="8"/>
        <rFont val="Arial"/>
        <family val="2"/>
      </rPr>
      <t>all governmental funds.</t>
    </r>
  </si>
  <si>
    <r>
      <t xml:space="preserve">     </t>
    </r>
    <r>
      <rPr>
        <sz val="11"/>
        <color indexed="8"/>
        <rFont val="Arial"/>
        <family val="2"/>
      </rPr>
      <t>●</t>
    </r>
    <r>
      <rPr>
        <sz val="11"/>
        <color indexed="8"/>
        <rFont val="Arial"/>
        <family val="2"/>
      </rPr>
      <t xml:space="preserve">  The model requires 5 years of data, but allows for 10 years (10 years being preferable.)  In order for the graphs to ignore the first five years, we have hidden those columns.  If you want to use more than five years, just "unhide" columns C-G and the input areas will be available.</t>
    </r>
  </si>
  <si>
    <t>To enter information in the data input tab, you will need to have copies of your financial statements, trial balances, or F-65 forms.  To use the spreadsheet:</t>
  </si>
  <si>
    <r>
      <t xml:space="preserve">     </t>
    </r>
    <r>
      <rPr>
        <sz val="11"/>
        <color indexed="8"/>
        <rFont val="Arial"/>
        <family val="2"/>
      </rPr>
      <t>●</t>
    </r>
    <r>
      <rPr>
        <sz val="11"/>
        <color indexed="8"/>
        <rFont val="Arial"/>
        <family val="2"/>
      </rPr>
      <t xml:space="preserve">  Other long-term obligations</t>
    </r>
  </si>
  <si>
    <r>
      <t xml:space="preserve">     </t>
    </r>
    <r>
      <rPr>
        <sz val="11"/>
        <color indexed="8"/>
        <rFont val="Arial"/>
        <family val="2"/>
      </rPr>
      <t>●</t>
    </r>
    <r>
      <rPr>
        <sz val="11"/>
        <color indexed="8"/>
        <rFont val="Arial"/>
        <family val="2"/>
      </rPr>
      <t xml:space="preserve">  Financial Position     </t>
    </r>
  </si>
  <si>
    <r>
      <t xml:space="preserve">     </t>
    </r>
    <r>
      <rPr>
        <sz val="11"/>
        <color indexed="8"/>
        <rFont val="Arial"/>
        <family val="2"/>
      </rPr>
      <t>●</t>
    </r>
    <r>
      <rPr>
        <sz val="11"/>
        <color indexed="8"/>
        <rFont val="Arial"/>
        <family val="2"/>
      </rPr>
      <t xml:space="preserve">  Expenditures </t>
    </r>
  </si>
  <si>
    <r>
      <t xml:space="preserve">     </t>
    </r>
    <r>
      <rPr>
        <sz val="11"/>
        <color indexed="8"/>
        <rFont val="Arial"/>
        <family val="2"/>
      </rPr>
      <t>●</t>
    </r>
    <r>
      <rPr>
        <sz val="11"/>
        <color indexed="8"/>
        <rFont val="Arial"/>
        <family val="2"/>
      </rPr>
      <t xml:space="preserve">  Revenues</t>
    </r>
  </si>
  <si>
    <t>The spreadsheet is organized by tabs.  The first tab to the right of the Instruction tab is titled "Data Input" and is the only tab where you should have to enter data or make modifications.  The next four tabs contain the Citizens' Guide organized as follows:</t>
  </si>
  <si>
    <t>INSTRUCTIONS FOR THE CITIZEN'S GUIDE SPREADSHEET</t>
  </si>
  <si>
    <t>Spec Rev funds</t>
  </si>
  <si>
    <t>Sale of asets</t>
  </si>
  <si>
    <t>from Federal Govt.</t>
  </si>
  <si>
    <t>from State Govt.</t>
  </si>
  <si>
    <t>Major Funds</t>
  </si>
  <si>
    <t>Special Revenue</t>
  </si>
  <si>
    <t>Debt Service</t>
  </si>
  <si>
    <t>Capital Project</t>
  </si>
  <si>
    <t>Nonspendable</t>
  </si>
  <si>
    <t>Restricted</t>
  </si>
  <si>
    <t>Committed</t>
  </si>
  <si>
    <t>Assigned</t>
  </si>
  <si>
    <t>Unassigned</t>
  </si>
  <si>
    <t>20XX</t>
  </si>
  <si>
    <t>32000.100</t>
  </si>
  <si>
    <t>32000.200</t>
  </si>
  <si>
    <t>32000.300</t>
  </si>
  <si>
    <t>32000.400</t>
  </si>
  <si>
    <t>32000.500</t>
  </si>
  <si>
    <t>Calculated - Fund Balance</t>
  </si>
  <si>
    <t>Nonspendable fund balances</t>
  </si>
  <si>
    <t>Restricted fund balances</t>
  </si>
  <si>
    <t>Committed fund balances</t>
  </si>
  <si>
    <t>Assigned fund balances</t>
  </si>
  <si>
    <t>Unassigned fund balances</t>
  </si>
  <si>
    <t>Financial position - General Fund</t>
  </si>
  <si>
    <t>CITIZENS' GUIDE TO LOCAL UNIT FINANCES BUDGET - City of Sample</t>
  </si>
  <si>
    <t>Stmt. Of Rev &amp; Exp - General fund</t>
  </si>
  <si>
    <t>FYE 20XX</t>
  </si>
  <si>
    <t>Current FY</t>
  </si>
  <si>
    <t>Subsequent FY</t>
  </si>
  <si>
    <t>Anticipated expenditure variance from budget</t>
  </si>
  <si>
    <t>Anticipated total expenditures</t>
  </si>
  <si>
    <t>Beginning fund balance</t>
  </si>
  <si>
    <t xml:space="preserve"> </t>
  </si>
  <si>
    <t>District Court</t>
  </si>
  <si>
    <t>51200</t>
  </si>
  <si>
    <t>Building Inspection</t>
  </si>
  <si>
    <t>Public works</t>
  </si>
  <si>
    <t>All employees (P&amp;F and Regular)</t>
  </si>
  <si>
    <t>For more information on our Township's finances, contact Barbara Miller at bmiller@twp.waterford.mi.us</t>
  </si>
  <si>
    <t>SCHEDULE OF INDEBTEDNESS</t>
  </si>
  <si>
    <t xml:space="preserve">At 12/31     </t>
  </si>
  <si>
    <t>Business-type Activities</t>
  </si>
  <si>
    <t>(P)</t>
  </si>
  <si>
    <t>(I)</t>
  </si>
  <si>
    <t>Limited Tax General Obligation</t>
  </si>
  <si>
    <t>Total business-type principal</t>
  </si>
  <si>
    <t>Total business-type interest</t>
  </si>
  <si>
    <t>Business-type total</t>
  </si>
  <si>
    <t>Governmental Activities</t>
  </si>
  <si>
    <t>Total governmental principal</t>
  </si>
  <si>
    <t>Total governmental interest</t>
  </si>
  <si>
    <t>Governmental total</t>
  </si>
  <si>
    <t xml:space="preserve">Total Principal </t>
  </si>
  <si>
    <t>Total Interest</t>
  </si>
  <si>
    <t>Total Obligation</t>
  </si>
  <si>
    <t>CITIZENS' GUIDE TO LOCAL UNIT FINANCES - Charter Township of Waterford</t>
  </si>
  <si>
    <t>Sale of assets</t>
  </si>
  <si>
    <t>General Employees'</t>
  </si>
  <si>
    <t>Issuance Amt: $6,994,654.00</t>
  </si>
  <si>
    <t>Issuance Amt: $4,130,000.00</t>
  </si>
  <si>
    <t>OMI Bonds 2013A (8/2013)</t>
  </si>
  <si>
    <t>Issuance Amt: $9,206,995.73</t>
  </si>
  <si>
    <t xml:space="preserve">    </t>
  </si>
  <si>
    <t xml:space="preserve">CHARTER TOWNSHIP OF WATERGORD MICHIGAN </t>
  </si>
  <si>
    <t xml:space="preserve">Repayment Source - Water &amp; Sewer Revenue: </t>
  </si>
  <si>
    <t>Cap. Improv. Bond 2007B (6/2007)</t>
  </si>
  <si>
    <t>SRF</t>
  </si>
  <si>
    <t>Issuance Amt: $3,745,000</t>
  </si>
  <si>
    <t xml:space="preserve">Cap. Improv. Bond 2007C (9/2007) </t>
  </si>
  <si>
    <t>DWRF</t>
  </si>
  <si>
    <t>Issuance Amt: $8,905,000</t>
  </si>
  <si>
    <t>OMI Bonds 2010A (2/2010)</t>
  </si>
  <si>
    <t>Adj amt:</t>
  </si>
  <si>
    <t>Issuance Amt: $5,653,540</t>
  </si>
  <si>
    <t>OMI Bonds 2010B (5/2010)</t>
  </si>
  <si>
    <t>Issuance Amt: $901,875</t>
  </si>
  <si>
    <t>OMI Bonds 2011A (1/2012)</t>
  </si>
  <si>
    <t>Issuance Amt: $4,219,251</t>
  </si>
  <si>
    <t>ReFunding Bond 5/2012</t>
  </si>
  <si>
    <t>Issuance Amt: 4,265,000 (Water &amp; Sewer Portion 77.54%)</t>
  </si>
  <si>
    <t>DWRF Bond 2013A (6/2013)</t>
  </si>
  <si>
    <t>SRF Bond 2013B (9/2013)</t>
  </si>
  <si>
    <t>Repayment Source - Debt Millage:</t>
  </si>
  <si>
    <t>Gen Obligation Bonds 6/2009</t>
  </si>
  <si>
    <t>Issuance Amt: $9,515,000</t>
  </si>
  <si>
    <t>Issuance Amt: 4,265,000.00 (General Gund Portion: 22.46%)</t>
  </si>
  <si>
    <t>Internal Service Fund - Motor Pool</t>
  </si>
  <si>
    <t>Installment Purch.Agree - 2015/Equip</t>
  </si>
  <si>
    <t>Actuarial Liab./TPL</t>
  </si>
  <si>
    <t>41650</t>
  </si>
  <si>
    <t>41600</t>
  </si>
  <si>
    <t>41910</t>
  </si>
  <si>
    <t>51320</t>
  </si>
  <si>
    <t>41990</t>
  </si>
  <si>
    <t>51990</t>
  </si>
  <si>
    <t>22200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</si>
</sst>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0.0"/>
    <numFmt numFmtId="166" formatCode="#,##0.0000"/>
    <numFmt numFmtId="167" formatCode="_(* ###0_);[Red]_(* \(###0\);_(* &quot;-&quot;_0_0_);_(@_)"/>
    <numFmt numFmtId="168" formatCode="_(* #,##0.0_);[Red]_(* \(#,##0.0\);_(* &quot;-&quot;_0_0_._0_);_(@_)"/>
    <numFmt numFmtId="169" formatCode="_(&quot;$&quot;* #,##0.0_);[Red]_(&quot;$&quot;* \(#,##0.0\);_(&quot;$&quot;* &quot;-&quot;_0_0_._0_);_(@_)"/>
    <numFmt numFmtId="170" formatCode="mmmm\ d\,\ yyyy"/>
    <numFmt numFmtId="171" formatCode="_(* #,##0_);_(* \(#,##0\);_(* &quot;-   &quot;_);_(@_)"/>
    <numFmt numFmtId="172" formatCode="_(* #,##0_);[Red]_(* \(#,##0\);_(* &quot;-&quot;_0_0_);_(@_)"/>
    <numFmt numFmtId="173" formatCode="_(&quot;$&quot;* #,##0_);_(&quot;$&quot;* \(#,##0\);_(&quot;$&quot;* &quot;-   &quot;_);_(@_)"/>
    <numFmt numFmtId="174" formatCode="_(* #,##0.0_);_(* \(#,##0.0\);_(* &quot;-   &quot;_);_(@_)"/>
    <numFmt numFmtId="175" formatCode="_(* #,##0.00_);_(* \(#,##0.00\);_(* &quot;-   &quot;_);_(@_)"/>
    <numFmt numFmtId="176" formatCode="_(* #,##0%_);[Red]_(* \(#,##0%\);_(* &quot;-&quot;_0\%_);_(@_)"/>
    <numFmt numFmtId="177" formatCode="_(* #,##0.0%_);[Red]_(* \(#,##0.0%\);_(* &quot;-&quot;_._0\%_);_(@_)"/>
  </numFmts>
  <fonts count="41">
    <font>
      <sz val="11"/>
      <color theme="1"/>
      <name val="Calibri"/>
      <family val="2"/>
      <scheme val="minor"/>
    </font>
    <font>
      <b/>
      <sz val="11"/>
      <color indexed="8"/>
      <name val="Arial"/>
      <family val="2"/>
    </font>
    <font>
      <sz val="11"/>
      <color indexed="8"/>
      <name val="Arial"/>
      <family val="2"/>
    </font>
    <font>
      <u/>
      <sz val="11"/>
      <color indexed="8"/>
      <name val="Arial"/>
      <family val="2"/>
    </font>
    <font>
      <b/>
      <sz val="14"/>
      <color indexed="8"/>
      <name val="Arial"/>
      <family val="2"/>
    </font>
    <font>
      <u val="singleAccounting"/>
      <sz val="12"/>
      <name val="Humanst521 BT"/>
      <family val="2"/>
    </font>
    <font>
      <sz val="12"/>
      <name val="Humanst521 BT"/>
      <family val="2"/>
    </font>
    <font>
      <sz val="10"/>
      <name val="Arial"/>
    </font>
    <font>
      <b/>
      <sz val="10"/>
      <color indexed="12"/>
      <name val="Arial"/>
      <family val="2"/>
    </font>
    <font>
      <sz val="12"/>
      <name val="Arial"/>
      <family val="2"/>
    </font>
    <font>
      <sz val="12"/>
      <name val="Arial"/>
    </font>
    <font>
      <u/>
      <sz val="12"/>
      <color indexed="12"/>
      <name val="Humanst521 BT"/>
      <family val="2"/>
    </font>
    <font>
      <sz val="10"/>
      <name val="Arial"/>
      <family val="2"/>
    </font>
    <font>
      <b/>
      <u/>
      <sz val="10"/>
      <color indexed="12"/>
      <name val="Arial"/>
      <family val="2"/>
    </font>
    <font>
      <u/>
      <sz val="10"/>
      <name val="Arial"/>
      <family val="2"/>
    </font>
    <font>
      <b/>
      <sz val="10"/>
      <color indexed="10"/>
      <name val="Arial"/>
      <family val="2"/>
    </font>
    <font>
      <b/>
      <u/>
      <sz val="10"/>
      <color indexed="10"/>
      <name val="Arial"/>
      <family val="2"/>
    </font>
    <font>
      <b/>
      <u val="doubleAccounting"/>
      <sz val="10"/>
      <name val="Arial"/>
      <family val="2"/>
    </font>
    <font>
      <b/>
      <sz val="10"/>
      <name val="Arial"/>
      <family val="2"/>
    </font>
    <font>
      <sz val="11"/>
      <name val="Times New Roman"/>
      <family val="1"/>
    </font>
    <font>
      <u val="doubleAccounting"/>
      <sz val="12"/>
      <name val="Humanst521 BT"/>
      <family val="2"/>
    </font>
    <font>
      <b/>
      <u val="doubleAccounting"/>
      <sz val="12"/>
      <name val="Humanst521 BT"/>
      <family val="2"/>
    </font>
    <font>
      <u val="singleAccounting"/>
      <sz val="9"/>
      <name val="Humanst521 BT"/>
      <family val="2"/>
    </font>
    <font>
      <sz val="9"/>
      <name val="Humanst521 BT"/>
      <family val="2"/>
    </font>
    <font>
      <sz val="12"/>
      <name val="Humanst521 XBd BT"/>
      <family val="2"/>
    </font>
    <font>
      <u val="doubleAccounting"/>
      <sz val="10"/>
      <name val="Arial"/>
      <family val="2"/>
    </font>
    <font>
      <b/>
      <sz val="12"/>
      <name val="Arial"/>
      <family val="2"/>
    </font>
    <font>
      <b/>
      <u/>
      <sz val="10"/>
      <color indexed="12"/>
      <name val="Humanst521 BT"/>
      <family val="2"/>
    </font>
    <font>
      <sz val="11"/>
      <color theme="1"/>
      <name val="Calibri"/>
      <family val="2"/>
      <scheme val="minor"/>
    </font>
    <font>
      <b/>
      <sz val="11"/>
      <color theme="1"/>
      <name val="Calibri"/>
      <family val="2"/>
      <scheme val="minor"/>
    </font>
    <font>
      <u val="singleAccounting"/>
      <sz val="11"/>
      <color theme="1"/>
      <name val="Calibri"/>
      <family val="2"/>
      <scheme val="minor"/>
    </font>
    <font>
      <b/>
      <sz val="11"/>
      <color rgb="FF1808E6"/>
      <name val="Calibri"/>
      <family val="2"/>
      <scheme val="minor"/>
    </font>
    <font>
      <u val="doubleAccounting"/>
      <sz val="11"/>
      <color theme="1"/>
      <name val="Calibri"/>
      <family val="2"/>
      <scheme val="minor"/>
    </font>
    <font>
      <b/>
      <u/>
      <sz val="11"/>
      <color theme="1"/>
      <name val="Calibri"/>
      <family val="2"/>
      <scheme val="minor"/>
    </font>
    <font>
      <b/>
      <u val="singleAccounting"/>
      <sz val="11"/>
      <color theme="1"/>
      <name val="Calibri"/>
      <family val="2"/>
      <scheme val="minor"/>
    </font>
    <font>
      <b/>
      <sz val="11"/>
      <color rgb="FF0070C0"/>
      <name val="Calibri"/>
      <family val="2"/>
      <scheme val="minor"/>
    </font>
    <font>
      <sz val="11"/>
      <color theme="0" tint="-0.24994659260841701"/>
      <name val="Calibri"/>
      <family val="2"/>
      <scheme val="minor"/>
    </font>
    <font>
      <sz val="11"/>
      <name val="Calibri"/>
      <family val="2"/>
      <scheme val="minor"/>
    </font>
    <font>
      <i/>
      <sz val="11"/>
      <color theme="1"/>
      <name val="Calibri"/>
      <family val="2"/>
      <scheme val="minor"/>
    </font>
    <font>
      <sz val="11"/>
      <color rgb="FFFF0000"/>
      <name val="Calibri"/>
      <family val="2"/>
      <scheme val="minor"/>
    </font>
    <font>
      <u/>
      <sz val="11"/>
      <color theme="1"/>
      <name val="Calibri"/>
      <family val="2"/>
      <scheme val="minor"/>
    </font>
  </fonts>
  <fills count="8">
    <fill>
      <patternFill patternType="none"/>
    </fill>
    <fill>
      <patternFill patternType="gray125"/>
    </fill>
    <fill>
      <patternFill patternType="solid">
        <fgColor indexed="9"/>
        <bgColor indexed="32"/>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12">
    <xf numFmtId="41" fontId="0" fillId="0" borderId="0"/>
    <xf numFmtId="49" fontId="6" fillId="0" borderId="0" applyFont="0">
      <alignment horizontal="centerContinuous" wrapText="1"/>
    </xf>
    <xf numFmtId="49" fontId="19" fillId="0" borderId="0">
      <alignment horizontal="centerContinuous" wrapText="1"/>
    </xf>
    <xf numFmtId="49" fontId="5" fillId="0" borderId="0">
      <alignment horizontal="center" wrapText="1"/>
    </xf>
    <xf numFmtId="49" fontId="5" fillId="0" borderId="0">
      <alignment horizontal="centerContinuous" wrapText="1"/>
    </xf>
    <xf numFmtId="167" fontId="12" fillId="0" borderId="0" applyFill="0" applyBorder="0">
      <alignment horizontal="center" wrapText="1"/>
    </xf>
    <xf numFmtId="167" fontId="7" fillId="0" borderId="0" applyFill="0" applyBorder="0">
      <alignment horizontal="center" wrapText="1"/>
    </xf>
    <xf numFmtId="167" fontId="12" fillId="0" borderId="0" applyFill="0" applyBorder="0">
      <alignment horizontal="center" wrapText="1"/>
    </xf>
    <xf numFmtId="168" fontId="12" fillId="0" borderId="0" applyFont="0" applyFill="0" applyBorder="0" applyAlignment="0" applyProtection="0"/>
    <xf numFmtId="168" fontId="7" fillId="0" borderId="0" applyFont="0" applyFill="0" applyBorder="0" applyAlignment="0" applyProtection="0"/>
    <xf numFmtId="168" fontId="12" fillId="0" borderId="0" applyFont="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44" fontId="28" fillId="0" borderId="0" applyFont="0" applyFill="0" applyBorder="0" applyAlignment="0" applyProtection="0"/>
    <xf numFmtId="169" fontId="12" fillId="0" borderId="0" applyFont="0" applyFill="0" applyBorder="0" applyAlignment="0" applyProtection="0"/>
    <xf numFmtId="169" fontId="7" fillId="0" borderId="0" applyFont="0" applyFill="0" applyBorder="0" applyAlignment="0" applyProtection="0"/>
    <xf numFmtId="169" fontId="12" fillId="0" borderId="0" applyFont="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7" fontId="9" fillId="0" borderId="0" applyFill="0" applyBorder="0" applyAlignment="0" applyProtection="0"/>
    <xf numFmtId="170" fontId="9" fillId="0" borderId="0" applyFill="0" applyBorder="0" applyAlignment="0" applyProtection="0"/>
    <xf numFmtId="170" fontId="10" fillId="0" borderId="0" applyFill="0" applyBorder="0" applyAlignment="0" applyProtection="0"/>
    <xf numFmtId="170" fontId="9" fillId="0" borderId="0" applyFill="0" applyBorder="0" applyAlignment="0" applyProtection="0"/>
    <xf numFmtId="171" fontId="20" fillId="0" borderId="0">
      <alignment horizontal="left"/>
    </xf>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165" fontId="9" fillId="0" borderId="0" applyFill="0" applyBorder="0" applyAlignment="0" applyProtection="0"/>
    <xf numFmtId="165" fontId="10" fillId="0" borderId="0" applyFill="0" applyBorder="0" applyAlignment="0" applyProtection="0"/>
    <xf numFmtId="165" fontId="9" fillId="0" borderId="0" applyFill="0" applyBorder="0" applyAlignment="0" applyProtection="0"/>
    <xf numFmtId="2" fontId="9" fillId="0" borderId="0" applyFill="0" applyBorder="0" applyAlignment="0" applyProtection="0"/>
    <xf numFmtId="2" fontId="10" fillId="0" borderId="0" applyFill="0" applyBorder="0" applyAlignment="0" applyProtection="0"/>
    <xf numFmtId="2" fontId="9" fillId="0" borderId="0" applyFill="0" applyBorder="0" applyAlignment="0" applyProtection="0"/>
    <xf numFmtId="0" fontId="12" fillId="0" borderId="0" applyFont="0" applyFill="0" applyBorder="0" applyProtection="0"/>
    <xf numFmtId="0" fontId="7" fillId="0" borderId="0" applyFont="0" applyFill="0" applyBorder="0" applyProtection="0"/>
    <xf numFmtId="0" fontId="12" fillId="0" borderId="0" applyFont="0" applyFill="0" applyBorder="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9" fontId="6" fillId="0" borderId="0"/>
    <xf numFmtId="0" fontId="7" fillId="0" borderId="0"/>
    <xf numFmtId="165" fontId="9" fillId="0" borderId="0" applyFill="0" applyBorder="0" applyAlignment="0" applyProtection="0"/>
    <xf numFmtId="165" fontId="10" fillId="0" borderId="0" applyFill="0" applyBorder="0" applyAlignment="0" applyProtection="0"/>
    <xf numFmtId="0" fontId="12" fillId="0" borderId="0"/>
    <xf numFmtId="173" fontId="20" fillId="0" borderId="0"/>
    <xf numFmtId="173" fontId="6" fillId="0" borderId="0"/>
    <xf numFmtId="173" fontId="21" fillId="0" borderId="0"/>
    <xf numFmtId="171" fontId="6" fillId="0" borderId="0"/>
    <xf numFmtId="171" fontId="5" fillId="0" borderId="0"/>
    <xf numFmtId="9" fontId="28" fillId="0" borderId="0" applyFont="0" applyFill="0" applyBorder="0" applyAlignment="0" applyProtection="0"/>
    <xf numFmtId="174" fontId="6" fillId="0" borderId="0"/>
    <xf numFmtId="174" fontId="20" fillId="0" borderId="0"/>
    <xf numFmtId="174" fontId="5" fillId="0" borderId="0"/>
    <xf numFmtId="175" fontId="6" fillId="0" borderId="0"/>
    <xf numFmtId="175" fontId="20" fillId="0" borderId="0"/>
    <xf numFmtId="175" fontId="5" fillId="0" borderId="0"/>
    <xf numFmtId="176" fontId="12" fillId="0" borderId="0" applyFont="0" applyFill="0" applyBorder="0" applyAlignment="0" applyProtection="0"/>
    <xf numFmtId="176" fontId="7" fillId="0" borderId="0" applyFont="0" applyFill="0" applyBorder="0" applyAlignment="0" applyProtection="0"/>
    <xf numFmtId="176" fontId="12" fillId="0" borderId="0" applyFont="0" applyFill="0" applyBorder="0" applyAlignment="0" applyProtection="0"/>
    <xf numFmtId="177" fontId="12" fillId="0" borderId="0" applyFont="0" applyFill="0" applyBorder="0" applyAlignment="0" applyProtection="0"/>
    <xf numFmtId="177" fontId="7" fillId="0" borderId="0" applyFont="0" applyFill="0" applyBorder="0" applyAlignment="0" applyProtection="0"/>
    <xf numFmtId="177" fontId="12" fillId="0" borderId="0" applyFont="0" applyFill="0" applyBorder="0" applyAlignment="0" applyProtection="0"/>
    <xf numFmtId="49" fontId="22" fillId="0" borderId="0">
      <alignment horizontal="left" wrapText="1"/>
    </xf>
    <xf numFmtId="49" fontId="22" fillId="0" borderId="0">
      <alignment horizontal="right" wrapText="1"/>
    </xf>
    <xf numFmtId="49" fontId="23" fillId="0" borderId="0">
      <alignment horizontal="left" indent="12"/>
    </xf>
    <xf numFmtId="49" fontId="6" fillId="0" borderId="0">
      <alignment horizontal="left" indent="2"/>
    </xf>
    <xf numFmtId="49" fontId="6" fillId="0" borderId="0">
      <alignment horizontal="left" indent="4"/>
    </xf>
    <xf numFmtId="49" fontId="6" fillId="0" borderId="0">
      <alignment horizontal="left" indent="6"/>
    </xf>
    <xf numFmtId="49" fontId="6" fillId="0" borderId="0">
      <alignment horizontal="left" indent="8"/>
    </xf>
    <xf numFmtId="49" fontId="6" fillId="0" borderId="0">
      <alignment horizontal="left"/>
    </xf>
    <xf numFmtId="49" fontId="24" fillId="0" borderId="0">
      <alignment horizontal="left" indent="4"/>
    </xf>
    <xf numFmtId="49" fontId="19" fillId="0" borderId="0" applyFont="0">
      <alignment horizontal="left" indent="10"/>
    </xf>
    <xf numFmtId="172" fontId="26" fillId="0" borderId="0" applyNumberFormat="0" applyFill="0" applyBorder="0"/>
    <xf numFmtId="0" fontId="10" fillId="0" borderId="1" applyNumberFormat="0" applyFill="0" applyAlignment="0" applyProtection="0"/>
    <xf numFmtId="0" fontId="9" fillId="0" borderId="1" applyNumberFormat="0" applyFill="0" applyAlignment="0" applyProtection="0"/>
    <xf numFmtId="172" fontId="25" fillId="0" borderId="0" applyNumberFormat="0" applyFill="0" applyBorder="0" applyAlignment="0"/>
  </cellStyleXfs>
  <cellXfs count="159">
    <xf numFmtId="41" fontId="0" fillId="0" borderId="0" xfId="0"/>
    <xf numFmtId="0" fontId="30" fillId="0" borderId="0" xfId="0" applyNumberFormat="1" applyFont="1" applyAlignment="1">
      <alignment horizontal="center" wrapText="1"/>
    </xf>
    <xf numFmtId="41" fontId="0" fillId="0" borderId="0" xfId="0" applyAlignment="1">
      <alignment horizontal="left" indent="1"/>
    </xf>
    <xf numFmtId="41" fontId="0" fillId="0" borderId="0" xfId="0" applyAlignment="1">
      <alignment horizontal="left" indent="2"/>
    </xf>
    <xf numFmtId="41" fontId="0" fillId="0" borderId="2" xfId="0" applyBorder="1"/>
    <xf numFmtId="41" fontId="0" fillId="0" borderId="1" xfId="0" applyBorder="1"/>
    <xf numFmtId="41" fontId="31" fillId="0" borderId="0" xfId="0" applyFont="1"/>
    <xf numFmtId="0" fontId="30" fillId="0" borderId="0" xfId="0" applyNumberFormat="1" applyFont="1" applyAlignment="1">
      <alignment horizontal="center"/>
    </xf>
    <xf numFmtId="41" fontId="0" fillId="0" borderId="0" xfId="0" applyAlignment="1">
      <alignment horizontal="left"/>
    </xf>
    <xf numFmtId="41" fontId="0" fillId="0" borderId="3" xfId="0" applyBorder="1"/>
    <xf numFmtId="41" fontId="29" fillId="0" borderId="0" xfId="0" applyFont="1"/>
    <xf numFmtId="41" fontId="33" fillId="0" borderId="0" xfId="0" applyFont="1"/>
    <xf numFmtId="41" fontId="0" fillId="0" borderId="0" xfId="0" applyProtection="1">
      <protection locked="0"/>
    </xf>
    <xf numFmtId="41" fontId="0" fillId="0" borderId="0" xfId="0" applyAlignment="1" applyProtection="1">
      <alignment horizontal="left" indent="2"/>
      <protection locked="0"/>
    </xf>
    <xf numFmtId="0" fontId="30" fillId="0" borderId="0" xfId="0" applyNumberFormat="1" applyFont="1" applyAlignment="1" applyProtection="1">
      <alignment horizontal="center" wrapText="1"/>
      <protection locked="0"/>
    </xf>
    <xf numFmtId="41" fontId="0" fillId="4" borderId="0" xfId="0" applyFill="1" applyProtection="1">
      <protection locked="0"/>
    </xf>
    <xf numFmtId="0" fontId="30" fillId="4" borderId="0" xfId="0" applyNumberFormat="1" applyFont="1" applyFill="1" applyAlignment="1" applyProtection="1">
      <alignment horizontal="center" wrapText="1"/>
      <protection locked="0"/>
    </xf>
    <xf numFmtId="41" fontId="0" fillId="0" borderId="0" xfId="0" applyAlignment="1">
      <alignment horizontal="right"/>
    </xf>
    <xf numFmtId="41" fontId="33" fillId="0" borderId="0" xfId="0" applyFont="1" applyAlignment="1" applyProtection="1">
      <alignment horizontal="left"/>
      <protection locked="0"/>
    </xf>
    <xf numFmtId="41" fontId="35" fillId="0" borderId="0" xfId="0" applyFont="1" applyProtection="1">
      <protection locked="0"/>
    </xf>
    <xf numFmtId="41" fontId="0" fillId="0" borderId="0" xfId="0" quotePrefix="1" applyProtection="1">
      <protection locked="0"/>
    </xf>
    <xf numFmtId="41" fontId="0" fillId="4" borderId="0" xfId="0" applyFill="1"/>
    <xf numFmtId="5" fontId="36" fillId="0" borderId="0" xfId="0" quotePrefix="1" applyNumberFormat="1" applyFont="1" applyAlignment="1">
      <alignment horizontal="center"/>
    </xf>
    <xf numFmtId="5" fontId="37" fillId="0" borderId="0" xfId="0" quotePrefix="1" applyNumberFormat="1" applyFont="1" applyAlignment="1">
      <alignment horizontal="center"/>
    </xf>
    <xf numFmtId="49" fontId="0" fillId="0" borderId="0" xfId="0" applyNumberFormat="1" applyProtection="1">
      <protection locked="0"/>
    </xf>
    <xf numFmtId="49" fontId="0" fillId="0" borderId="0" xfId="0" applyNumberFormat="1"/>
    <xf numFmtId="49" fontId="0" fillId="4" borderId="0" xfId="0" applyNumberFormat="1" applyFill="1" applyProtection="1">
      <protection locked="0"/>
    </xf>
    <xf numFmtId="41" fontId="30" fillId="0" borderId="0" xfId="0" applyFont="1" applyProtection="1">
      <protection locked="0"/>
    </xf>
    <xf numFmtId="41" fontId="0" fillId="0" borderId="0" xfId="0" applyAlignment="1">
      <alignment horizontal="left" indent="3"/>
    </xf>
    <xf numFmtId="41" fontId="38" fillId="0" borderId="0" xfId="0" applyFont="1" applyAlignment="1">
      <alignment horizontal="right"/>
    </xf>
    <xf numFmtId="49" fontId="30" fillId="0" borderId="0" xfId="0" applyNumberFormat="1" applyFont="1" applyAlignment="1" applyProtection="1">
      <alignment horizontal="center" wrapText="1"/>
      <protection locked="0"/>
    </xf>
    <xf numFmtId="49" fontId="30" fillId="0" borderId="0" xfId="0" applyNumberFormat="1" applyFont="1" applyAlignment="1">
      <alignment horizontal="center" wrapText="1"/>
    </xf>
    <xf numFmtId="0" fontId="2" fillId="0" borderId="0" xfId="0" applyNumberFormat="1" applyFont="1" applyAlignment="1">
      <alignment horizontal="justify" vertical="justify" wrapText="1" readingOrder="1"/>
    </xf>
    <xf numFmtId="0" fontId="2" fillId="0" borderId="0" xfId="0" applyNumberFormat="1" applyFont="1" applyAlignment="1">
      <alignment vertical="justify" wrapText="1" readingOrder="1"/>
    </xf>
    <xf numFmtId="0" fontId="2" fillId="0" borderId="0" xfId="0" applyNumberFormat="1" applyFont="1" applyAlignment="1">
      <alignment vertical="top" wrapText="1"/>
    </xf>
    <xf numFmtId="0" fontId="2" fillId="0" borderId="0" xfId="0" applyNumberFormat="1" applyFont="1" applyAlignment="1">
      <alignment horizontal="justify" vertical="distributed" wrapText="1" readingOrder="1"/>
    </xf>
    <xf numFmtId="0" fontId="2" fillId="0" borderId="0" xfId="0" applyNumberFormat="1" applyFont="1" applyAlignment="1">
      <alignment horizontal="justify" vertical="justify" wrapText="1"/>
    </xf>
    <xf numFmtId="41" fontId="2" fillId="0" borderId="0" xfId="0" applyFont="1"/>
    <xf numFmtId="0" fontId="2" fillId="0" borderId="0" xfId="0" applyNumberFormat="1" applyFont="1" applyAlignment="1">
      <alignment vertical="top" wrapText="1" readingOrder="1"/>
    </xf>
    <xf numFmtId="41" fontId="4" fillId="0" borderId="0" xfId="0" applyFont="1" applyAlignment="1">
      <alignment horizontal="center"/>
    </xf>
    <xf numFmtId="0" fontId="33" fillId="0" borderId="0" xfId="0" applyNumberFormat="1" applyFont="1"/>
    <xf numFmtId="41" fontId="29" fillId="0" borderId="4" xfId="0" applyFont="1" applyBorder="1"/>
    <xf numFmtId="41" fontId="29" fillId="0" borderId="0" xfId="0" applyFont="1" applyProtection="1">
      <protection locked="0"/>
    </xf>
    <xf numFmtId="41" fontId="0" fillId="5" borderId="0" xfId="0" applyFill="1" applyProtection="1">
      <protection locked="0"/>
    </xf>
    <xf numFmtId="41" fontId="0" fillId="0" borderId="0" xfId="0" applyAlignment="1">
      <alignment wrapText="1"/>
    </xf>
    <xf numFmtId="41" fontId="0" fillId="5" borderId="4" xfId="0" applyFill="1" applyBorder="1" applyProtection="1">
      <protection locked="0"/>
    </xf>
    <xf numFmtId="41" fontId="0" fillId="6" borderId="4" xfId="0" applyFill="1" applyBorder="1" applyProtection="1">
      <protection locked="0"/>
    </xf>
    <xf numFmtId="4" fontId="12" fillId="0" borderId="3" xfId="77" applyNumberFormat="1" applyFont="1" applyBorder="1"/>
    <xf numFmtId="0" fontId="8" fillId="0" borderId="0" xfId="79" applyFont="1"/>
    <xf numFmtId="0" fontId="12" fillId="0" borderId="0" xfId="79"/>
    <xf numFmtId="0" fontId="12" fillId="2" borderId="0" xfId="79" applyFill="1"/>
    <xf numFmtId="165" fontId="12" fillId="0" borderId="0" xfId="77" applyFont="1" applyFill="1" applyAlignment="1">
      <alignment horizontal="centerContinuous"/>
    </xf>
    <xf numFmtId="165" fontId="12" fillId="0" borderId="0" xfId="77" applyFont="1" applyAlignment="1">
      <alignment horizontal="centerContinuous"/>
    </xf>
    <xf numFmtId="1" fontId="12" fillId="0" borderId="0" xfId="77" applyNumberFormat="1" applyFont="1" applyFill="1"/>
    <xf numFmtId="1" fontId="12" fillId="0" borderId="0" xfId="77" applyNumberFormat="1" applyFont="1" applyFill="1" applyAlignment="1">
      <alignment horizontal="right"/>
    </xf>
    <xf numFmtId="14" fontId="12" fillId="0" borderId="0" xfId="79" applyNumberFormat="1" applyAlignment="1">
      <alignment horizontal="right"/>
    </xf>
    <xf numFmtId="4" fontId="12" fillId="0" borderId="0" xfId="11" applyNumberFormat="1" applyFont="1" applyFill="1" applyAlignment="1">
      <alignment horizontal="center"/>
    </xf>
    <xf numFmtId="4" fontId="12" fillId="0" borderId="0" xfId="11" applyNumberFormat="1" applyFont="1" applyFill="1"/>
    <xf numFmtId="4" fontId="15" fillId="0" borderId="0" xfId="74" applyNumberFormat="1" applyFont="1" applyFill="1" applyAlignment="1" applyProtection="1">
      <alignment horizontal="center"/>
    </xf>
    <xf numFmtId="4" fontId="15" fillId="0" borderId="0" xfId="74" applyNumberFormat="1" applyFont="1" applyFill="1" applyAlignment="1" applyProtection="1">
      <alignment horizontal="right"/>
    </xf>
    <xf numFmtId="4" fontId="12" fillId="2" borderId="0" xfId="79" applyNumberFormat="1" applyFill="1"/>
    <xf numFmtId="4" fontId="15" fillId="0" borderId="0" xfId="74" applyNumberFormat="1" applyFont="1" applyFill="1" applyAlignment="1" applyProtection="1"/>
    <xf numFmtId="4" fontId="12" fillId="0" borderId="0" xfId="74" applyNumberFormat="1" applyFont="1" applyFill="1" applyAlignment="1" applyProtection="1"/>
    <xf numFmtId="4" fontId="12" fillId="0" borderId="0" xfId="77" applyNumberFormat="1" applyFont="1" applyFill="1" applyBorder="1"/>
    <xf numFmtId="4" fontId="12" fillId="0" borderId="0" xfId="79" applyNumberFormat="1"/>
    <xf numFmtId="166" fontId="12" fillId="0" borderId="0" xfId="77" applyNumberFormat="1" applyFont="1" applyFill="1" applyBorder="1"/>
    <xf numFmtId="4" fontId="12" fillId="0" borderId="4" xfId="77" applyNumberFormat="1" applyFont="1" applyFill="1" applyBorder="1"/>
    <xf numFmtId="0" fontId="13" fillId="0" borderId="0" xfId="79" applyFont="1"/>
    <xf numFmtId="0" fontId="14" fillId="0" borderId="0" xfId="79" applyFont="1"/>
    <xf numFmtId="4" fontId="27" fillId="0" borderId="0" xfId="74" applyNumberFormat="1" applyFont="1" applyFill="1" applyAlignment="1" applyProtection="1">
      <alignment horizontal="right"/>
    </xf>
    <xf numFmtId="4" fontId="8" fillId="0" borderId="0" xfId="74" applyNumberFormat="1" applyFont="1" applyFill="1" applyAlignment="1" applyProtection="1">
      <alignment horizontal="right"/>
    </xf>
    <xf numFmtId="4" fontId="12" fillId="0" borderId="3" xfId="77" applyNumberFormat="1" applyFont="1" applyFill="1" applyBorder="1"/>
    <xf numFmtId="0" fontId="16" fillId="2" borderId="0" xfId="79" applyFont="1" applyFill="1"/>
    <xf numFmtId="4" fontId="13" fillId="2" borderId="0" xfId="79" applyNumberFormat="1" applyFont="1" applyFill="1"/>
    <xf numFmtId="0" fontId="8" fillId="0" borderId="0" xfId="74" applyNumberFormat="1" applyFont="1" applyFill="1" applyAlignment="1" applyProtection="1">
      <alignment horizontal="right"/>
    </xf>
    <xf numFmtId="4" fontId="8" fillId="0" borderId="0" xfId="74" applyNumberFormat="1" applyFont="1" applyAlignment="1" applyProtection="1">
      <alignment horizontal="right"/>
    </xf>
    <xf numFmtId="0" fontId="27" fillId="0" borderId="4" xfId="74" applyFont="1" applyFill="1" applyBorder="1" applyAlignment="1" applyProtection="1">
      <alignment horizontal="right"/>
    </xf>
    <xf numFmtId="4" fontId="8" fillId="0" borderId="4" xfId="74" applyNumberFormat="1" applyFont="1" applyBorder="1" applyAlignment="1" applyProtection="1">
      <alignment horizontal="right"/>
    </xf>
    <xf numFmtId="7" fontId="18" fillId="0" borderId="0" xfId="26" applyFont="1" applyFill="1"/>
    <xf numFmtId="7" fontId="18" fillId="0" borderId="0" xfId="26" applyFont="1"/>
    <xf numFmtId="7" fontId="18" fillId="2" borderId="0" xfId="26" applyFont="1" applyFill="1"/>
    <xf numFmtId="41" fontId="14" fillId="0" borderId="0" xfId="0" applyFont="1" applyAlignment="1">
      <alignment horizontal="left"/>
    </xf>
    <xf numFmtId="41" fontId="12" fillId="0" borderId="0" xfId="0" applyFont="1"/>
    <xf numFmtId="41" fontId="12" fillId="0" borderId="0" xfId="0" applyFont="1" applyAlignment="1">
      <alignment horizontal="center"/>
    </xf>
    <xf numFmtId="41" fontId="12" fillId="0" borderId="0" xfId="0" applyFont="1" applyAlignment="1">
      <alignment horizontal="left"/>
    </xf>
    <xf numFmtId="4" fontId="12" fillId="0" borderId="0" xfId="0" applyNumberFormat="1" applyFont="1" applyAlignment="1">
      <alignment horizontal="left"/>
    </xf>
    <xf numFmtId="4" fontId="12" fillId="0" borderId="0" xfId="0" applyNumberFormat="1" applyFont="1"/>
    <xf numFmtId="4" fontId="12" fillId="0" borderId="0" xfId="0" applyNumberFormat="1" applyFont="1" applyAlignment="1">
      <alignment horizontal="center"/>
    </xf>
    <xf numFmtId="4" fontId="12" fillId="0" borderId="0" xfId="0" applyNumberFormat="1" applyFont="1" applyAlignment="1">
      <alignment horizontal="right"/>
    </xf>
    <xf numFmtId="3" fontId="12" fillId="0" borderId="0" xfId="0" applyNumberFormat="1" applyFont="1"/>
    <xf numFmtId="4" fontId="12" fillId="0" borderId="4" xfId="0" applyNumberFormat="1" applyFont="1" applyBorder="1"/>
    <xf numFmtId="41" fontId="14" fillId="0" borderId="0" xfId="0" applyFont="1"/>
    <xf numFmtId="0" fontId="15" fillId="0" borderId="0" xfId="0" applyNumberFormat="1" applyFont="1"/>
    <xf numFmtId="4" fontId="14" fillId="0" borderId="0" xfId="0" applyNumberFormat="1" applyFont="1"/>
    <xf numFmtId="0" fontId="15" fillId="0" borderId="4" xfId="0" applyNumberFormat="1" applyFont="1" applyBorder="1"/>
    <xf numFmtId="0" fontId="16" fillId="0" borderId="4" xfId="0" applyNumberFormat="1" applyFont="1" applyBorder="1"/>
    <xf numFmtId="41" fontId="17" fillId="0" borderId="0" xfId="0" applyFont="1" applyAlignment="1">
      <alignment horizontal="centerContinuous"/>
    </xf>
    <xf numFmtId="3" fontId="12" fillId="0" borderId="0" xfId="0" applyNumberFormat="1" applyFont="1" applyAlignment="1">
      <alignment horizontal="left"/>
    </xf>
    <xf numFmtId="41" fontId="12" fillId="0" borderId="4" xfId="0" applyFont="1" applyBorder="1"/>
    <xf numFmtId="0" fontId="15" fillId="0" borderId="0" xfId="0" applyNumberFormat="1" applyFont="1" applyAlignment="1">
      <alignment horizontal="right"/>
    </xf>
    <xf numFmtId="0" fontId="15" fillId="0" borderId="4" xfId="0" applyNumberFormat="1" applyFont="1" applyBorder="1" applyAlignment="1">
      <alignment horizontal="right"/>
    </xf>
    <xf numFmtId="41" fontId="29" fillId="0" borderId="0" xfId="0" applyFont="1" applyAlignment="1" applyProtection="1">
      <alignment horizontal="left"/>
      <protection locked="0"/>
    </xf>
    <xf numFmtId="41" fontId="0" fillId="0" borderId="0" xfId="0" applyAlignment="1">
      <alignment horizontal="centerContinuous"/>
    </xf>
    <xf numFmtId="49" fontId="0" fillId="0" borderId="0" xfId="0" applyNumberFormat="1" applyAlignment="1" applyProtection="1">
      <alignment horizontal="center" wrapText="1"/>
      <protection locked="0"/>
    </xf>
    <xf numFmtId="0" fontId="0" fillId="4" borderId="0" xfId="0" applyNumberFormat="1" applyFill="1" applyAlignment="1" applyProtection="1">
      <alignment horizontal="center" wrapText="1"/>
      <protection locked="0"/>
    </xf>
    <xf numFmtId="0" fontId="0" fillId="0" borderId="0" xfId="0" applyNumberFormat="1" applyAlignment="1" applyProtection="1">
      <alignment horizontal="center" wrapText="1"/>
      <protection locked="0"/>
    </xf>
    <xf numFmtId="0" fontId="0" fillId="0" borderId="0" xfId="0" applyNumberFormat="1" applyAlignment="1">
      <alignment horizontal="center" wrapText="1"/>
    </xf>
    <xf numFmtId="49" fontId="0" fillId="0" borderId="0" xfId="0" applyNumberFormat="1" applyAlignment="1">
      <alignment horizontal="center" wrapText="1"/>
    </xf>
    <xf numFmtId="41" fontId="0" fillId="0" borderId="0" xfId="85" applyNumberFormat="1" applyFont="1"/>
    <xf numFmtId="41" fontId="0" fillId="0" borderId="1" xfId="85" applyNumberFormat="1" applyFont="1" applyBorder="1"/>
    <xf numFmtId="0" fontId="29" fillId="0" borderId="0" xfId="0" applyNumberFormat="1" applyFont="1" applyAlignment="1">
      <alignment horizontal="center" wrapText="1"/>
    </xf>
    <xf numFmtId="41" fontId="0" fillId="0" borderId="0" xfId="0" applyAlignment="1" applyProtection="1">
      <alignment horizontal="left"/>
      <protection locked="0"/>
    </xf>
    <xf numFmtId="49" fontId="0" fillId="0" borderId="0" xfId="85" applyNumberFormat="1" applyFont="1" applyBorder="1" applyProtection="1"/>
    <xf numFmtId="9" fontId="0" fillId="0" borderId="0" xfId="85" applyFont="1"/>
    <xf numFmtId="9" fontId="0" fillId="0" borderId="0" xfId="85" applyFont="1" applyFill="1"/>
    <xf numFmtId="9" fontId="0" fillId="0" borderId="0" xfId="0" applyNumberFormat="1"/>
    <xf numFmtId="41" fontId="0" fillId="0" borderId="0" xfId="0" applyAlignment="1" applyProtection="1">
      <alignment horizontal="left" indent="1"/>
      <protection locked="0"/>
    </xf>
    <xf numFmtId="41" fontId="0" fillId="0" borderId="0" xfId="0" applyAlignment="1" applyProtection="1">
      <alignment horizontal="left" indent="3"/>
      <protection locked="0"/>
    </xf>
    <xf numFmtId="49" fontId="0" fillId="4" borderId="0" xfId="0" applyNumberFormat="1" applyFill="1"/>
    <xf numFmtId="41" fontId="0" fillId="3" borderId="0" xfId="0" applyFill="1"/>
    <xf numFmtId="49" fontId="0" fillId="3" borderId="0" xfId="0" applyNumberFormat="1" applyFill="1"/>
    <xf numFmtId="41" fontId="0" fillId="3" borderId="0" xfId="0" applyFill="1" applyProtection="1">
      <protection locked="0"/>
    </xf>
    <xf numFmtId="49" fontId="0" fillId="3" borderId="0" xfId="0" applyNumberFormat="1" applyFill="1" applyAlignment="1" applyProtection="1">
      <alignment horizontal="center" wrapText="1"/>
      <protection locked="0"/>
    </xf>
    <xf numFmtId="0" fontId="0" fillId="3" borderId="0" xfId="0" applyNumberFormat="1" applyFill="1" applyAlignment="1">
      <alignment horizontal="center" wrapText="1"/>
    </xf>
    <xf numFmtId="49" fontId="0" fillId="3" borderId="0" xfId="0" applyNumberFormat="1" applyFill="1" applyProtection="1">
      <protection locked="0"/>
    </xf>
    <xf numFmtId="41" fontId="0" fillId="7" borderId="0" xfId="0" applyFill="1" applyProtection="1">
      <protection locked="0"/>
    </xf>
    <xf numFmtId="14" fontId="0" fillId="0" borderId="0" xfId="0" applyNumberFormat="1"/>
    <xf numFmtId="41" fontId="37" fillId="4" borderId="0" xfId="0" applyFont="1" applyFill="1" applyProtection="1">
      <protection locked="0"/>
    </xf>
    <xf numFmtId="41" fontId="39" fillId="0" borderId="0" xfId="0" applyFont="1" applyProtection="1">
      <protection locked="0"/>
    </xf>
    <xf numFmtId="41" fontId="37" fillId="4" borderId="0" xfId="0" applyFont="1" applyFill="1"/>
    <xf numFmtId="14" fontId="40" fillId="4" borderId="0" xfId="0" applyNumberFormat="1" applyFont="1" applyFill="1" applyAlignment="1" applyProtection="1">
      <alignment horizontal="center" wrapText="1"/>
      <protection locked="0"/>
    </xf>
    <xf numFmtId="14" fontId="40" fillId="4" borderId="0" xfId="0" applyNumberFormat="1" applyFont="1" applyFill="1"/>
    <xf numFmtId="41" fontId="37" fillId="0" borderId="0" xfId="0" applyFont="1" applyProtection="1">
      <protection locked="0"/>
    </xf>
    <xf numFmtId="0" fontId="40" fillId="3" borderId="0" xfId="0" applyNumberFormat="1" applyFont="1" applyFill="1" applyAlignment="1">
      <alignment horizontal="center" wrapText="1"/>
    </xf>
    <xf numFmtId="0" fontId="2" fillId="0" borderId="0" xfId="0" applyNumberFormat="1" applyFont="1" applyAlignment="1">
      <alignment horizontal="justify" vertical="justify" wrapText="1" readingOrder="1"/>
    </xf>
    <xf numFmtId="0" fontId="1" fillId="0" borderId="0" xfId="0" applyNumberFormat="1" applyFont="1" applyAlignment="1">
      <alignment horizontal="justify" vertical="justify" wrapText="1" readingOrder="1"/>
    </xf>
    <xf numFmtId="41" fontId="0" fillId="0" borderId="0" xfId="0" applyAlignment="1">
      <alignment wrapText="1" readingOrder="1"/>
    </xf>
    <xf numFmtId="0" fontId="2" fillId="0" borderId="0" xfId="0" applyNumberFormat="1" applyFont="1" applyAlignment="1">
      <alignment vertical="top" wrapText="1" readingOrder="1"/>
    </xf>
    <xf numFmtId="0" fontId="2" fillId="0" borderId="0" xfId="0" applyNumberFormat="1" applyFont="1" applyAlignment="1">
      <alignment horizontal="justify" vertical="justify" wrapText="1"/>
    </xf>
    <xf numFmtId="41" fontId="33" fillId="0" borderId="0" xfId="0" applyFont="1" applyAlignment="1" applyProtection="1">
      <alignment horizontal="left"/>
    </xf>
    <xf numFmtId="41" fontId="0" fillId="0" borderId="0" xfId="0" applyProtection="1"/>
    <xf numFmtId="41" fontId="34" fillId="0" borderId="0" xfId="0" applyFont="1" applyAlignment="1" applyProtection="1">
      <alignment horizontal="right"/>
    </xf>
    <xf numFmtId="41" fontId="0" fillId="0" borderId="0" xfId="0" applyAlignment="1" applyProtection="1">
      <alignment horizontal="right"/>
    </xf>
    <xf numFmtId="0" fontId="30" fillId="0" borderId="0" xfId="0" applyNumberFormat="1" applyFont="1" applyAlignment="1" applyProtection="1">
      <alignment horizontal="center" wrapText="1"/>
    </xf>
    <xf numFmtId="42" fontId="0" fillId="0" borderId="0" xfId="0" applyNumberFormat="1" applyProtection="1"/>
    <xf numFmtId="9" fontId="28" fillId="0" borderId="0" xfId="85" applyFont="1" applyAlignment="1" applyProtection="1"/>
    <xf numFmtId="42" fontId="30" fillId="0" borderId="0" xfId="0" applyNumberFormat="1" applyFont="1" applyProtection="1"/>
    <xf numFmtId="41" fontId="30" fillId="0" borderId="0" xfId="0" applyFont="1" applyProtection="1"/>
    <xf numFmtId="42" fontId="32" fillId="0" borderId="0" xfId="0" applyNumberFormat="1" applyFont="1" applyProtection="1"/>
    <xf numFmtId="9" fontId="28" fillId="0" borderId="0" xfId="85" applyFont="1" applyAlignment="1" applyProtection="1">
      <alignment horizontal="right"/>
    </xf>
    <xf numFmtId="164" fontId="28" fillId="0" borderId="0" xfId="22" applyNumberFormat="1" applyFont="1" applyProtection="1"/>
    <xf numFmtId="41" fontId="0" fillId="0" borderId="0" xfId="0" applyAlignment="1" applyProtection="1">
      <alignment horizontal="left" indent="2"/>
    </xf>
    <xf numFmtId="42" fontId="0" fillId="0" borderId="1" xfId="0" applyNumberFormat="1" applyBorder="1" applyProtection="1"/>
    <xf numFmtId="9" fontId="28" fillId="0" borderId="0" xfId="85" applyFont="1" applyProtection="1"/>
    <xf numFmtId="41" fontId="0" fillId="0" borderId="0" xfId="0" applyAlignment="1" applyProtection="1">
      <alignment horizontal="left" indent="6"/>
    </xf>
    <xf numFmtId="41" fontId="0" fillId="0" borderId="1" xfId="0" applyBorder="1" applyProtection="1"/>
    <xf numFmtId="9" fontId="28" fillId="0" borderId="1" xfId="85" applyFont="1" applyBorder="1" applyProtection="1"/>
    <xf numFmtId="41" fontId="0" fillId="0" borderId="0" xfId="0" applyAlignment="1" applyProtection="1">
      <alignment horizontal="left" indent="4"/>
    </xf>
    <xf numFmtId="41" fontId="0" fillId="0" borderId="0" xfId="0" applyAlignment="1" applyProtection="1">
      <alignment horizontal="left" indent="1"/>
    </xf>
  </cellXfs>
  <cellStyles count="112">
    <cellStyle name="Center Across Columns" xfId="1" xr:uid="{00000000-0005-0000-0000-000000000000}"/>
    <cellStyle name="Center Heading across cells" xfId="2" xr:uid="{00000000-0005-0000-0000-000001000000}"/>
    <cellStyle name="Column Heading" xfId="3" xr:uid="{00000000-0005-0000-0000-000002000000}"/>
    <cellStyle name="Column Heading (across cells)" xfId="4" xr:uid="{00000000-0005-0000-0000-000003000000}"/>
    <cellStyle name="ColumnTop" xfId="5" xr:uid="{00000000-0005-0000-0000-000004000000}"/>
    <cellStyle name="ColumnTop 2" xfId="6" xr:uid="{00000000-0005-0000-0000-000005000000}"/>
    <cellStyle name="ColumnTop 2 2" xfId="7" xr:uid="{00000000-0005-0000-0000-000006000000}"/>
    <cellStyle name="Comma [1]" xfId="8" xr:uid="{00000000-0005-0000-0000-000007000000}"/>
    <cellStyle name="Comma [1] 2" xfId="9" xr:uid="{00000000-0005-0000-0000-000008000000}"/>
    <cellStyle name="Comma [1] 2 2" xfId="10" xr:uid="{00000000-0005-0000-0000-000009000000}"/>
    <cellStyle name="Comma 10" xfId="11" xr:uid="{00000000-0005-0000-0000-00000A000000}"/>
    <cellStyle name="Comma 11" xfId="12" xr:uid="{00000000-0005-0000-0000-00000B000000}"/>
    <cellStyle name="Comma 12" xfId="13" xr:uid="{00000000-0005-0000-0000-00000C000000}"/>
    <cellStyle name="Comma 2" xfId="14" xr:uid="{00000000-0005-0000-0000-00000D000000}"/>
    <cellStyle name="Comma 3" xfId="15" xr:uid="{00000000-0005-0000-0000-00000E000000}"/>
    <cellStyle name="Comma 4" xfId="16" xr:uid="{00000000-0005-0000-0000-00000F000000}"/>
    <cellStyle name="Comma 5" xfId="17" xr:uid="{00000000-0005-0000-0000-000010000000}"/>
    <cellStyle name="Comma 6" xfId="18" xr:uid="{00000000-0005-0000-0000-000011000000}"/>
    <cellStyle name="Comma 7" xfId="19" xr:uid="{00000000-0005-0000-0000-000012000000}"/>
    <cellStyle name="Comma 8" xfId="20" xr:uid="{00000000-0005-0000-0000-000013000000}"/>
    <cellStyle name="Comma 9" xfId="21" xr:uid="{00000000-0005-0000-0000-000014000000}"/>
    <cellStyle name="Currency" xfId="22" builtinId="4"/>
    <cellStyle name="Currency [1]" xfId="23" xr:uid="{00000000-0005-0000-0000-000016000000}"/>
    <cellStyle name="Currency [1] 2" xfId="24" xr:uid="{00000000-0005-0000-0000-000017000000}"/>
    <cellStyle name="Currency [1] 2 2" xfId="25" xr:uid="{00000000-0005-0000-0000-000018000000}"/>
    <cellStyle name="Currency 10" xfId="26" xr:uid="{00000000-0005-0000-0000-000019000000}"/>
    <cellStyle name="Currency 11" xfId="27" xr:uid="{00000000-0005-0000-0000-00001A000000}"/>
    <cellStyle name="Currency 12" xfId="28" xr:uid="{00000000-0005-0000-0000-00001B000000}"/>
    <cellStyle name="Currency 2" xfId="29" xr:uid="{00000000-0005-0000-0000-00001C000000}"/>
    <cellStyle name="Currency 3" xfId="30" xr:uid="{00000000-0005-0000-0000-00001D000000}"/>
    <cellStyle name="Currency 4" xfId="31" xr:uid="{00000000-0005-0000-0000-00001E000000}"/>
    <cellStyle name="Currency 5" xfId="32" xr:uid="{00000000-0005-0000-0000-00001F000000}"/>
    <cellStyle name="Currency 6" xfId="33" xr:uid="{00000000-0005-0000-0000-000020000000}"/>
    <cellStyle name="Currency 7" xfId="34" xr:uid="{00000000-0005-0000-0000-000021000000}"/>
    <cellStyle name="Currency 8" xfId="35" xr:uid="{00000000-0005-0000-0000-000022000000}"/>
    <cellStyle name="Currency 9" xfId="36" xr:uid="{00000000-0005-0000-0000-000023000000}"/>
    <cellStyle name="Date" xfId="37" xr:uid="{00000000-0005-0000-0000-000024000000}"/>
    <cellStyle name="Date 2" xfId="38" xr:uid="{00000000-0005-0000-0000-000025000000}"/>
    <cellStyle name="Date 2 2" xfId="39" xr:uid="{00000000-0005-0000-0000-000026000000}"/>
    <cellStyle name="DoubleOnly" xfId="40" xr:uid="{00000000-0005-0000-0000-000027000000}"/>
    <cellStyle name="F2" xfId="41" xr:uid="{00000000-0005-0000-0000-000028000000}"/>
    <cellStyle name="F2 2" xfId="42" xr:uid="{00000000-0005-0000-0000-000029000000}"/>
    <cellStyle name="F2 2 2" xfId="43" xr:uid="{00000000-0005-0000-0000-00002A000000}"/>
    <cellStyle name="F3" xfId="44" xr:uid="{00000000-0005-0000-0000-00002B000000}"/>
    <cellStyle name="F3 2" xfId="45" xr:uid="{00000000-0005-0000-0000-00002C000000}"/>
    <cellStyle name="F3 2 2" xfId="46" xr:uid="{00000000-0005-0000-0000-00002D000000}"/>
    <cellStyle name="F4" xfId="47" xr:uid="{00000000-0005-0000-0000-00002E000000}"/>
    <cellStyle name="F4 2" xfId="48" xr:uid="{00000000-0005-0000-0000-00002F000000}"/>
    <cellStyle name="F4 2 2" xfId="49" xr:uid="{00000000-0005-0000-0000-000030000000}"/>
    <cellStyle name="F5" xfId="50" xr:uid="{00000000-0005-0000-0000-000031000000}"/>
    <cellStyle name="F5 2" xfId="51" xr:uid="{00000000-0005-0000-0000-000032000000}"/>
    <cellStyle name="F5 2 2" xfId="52" xr:uid="{00000000-0005-0000-0000-000033000000}"/>
    <cellStyle name="F6" xfId="53" xr:uid="{00000000-0005-0000-0000-000034000000}"/>
    <cellStyle name="F6 2" xfId="54" xr:uid="{00000000-0005-0000-0000-000035000000}"/>
    <cellStyle name="F6 2 2" xfId="55" xr:uid="{00000000-0005-0000-0000-000036000000}"/>
    <cellStyle name="F7" xfId="56" xr:uid="{00000000-0005-0000-0000-000037000000}"/>
    <cellStyle name="F7 2" xfId="57" xr:uid="{00000000-0005-0000-0000-000038000000}"/>
    <cellStyle name="F7 2 2" xfId="58" xr:uid="{00000000-0005-0000-0000-000039000000}"/>
    <cellStyle name="F8" xfId="59" xr:uid="{00000000-0005-0000-0000-00003A000000}"/>
    <cellStyle name="F8 2" xfId="60" xr:uid="{00000000-0005-0000-0000-00003B000000}"/>
    <cellStyle name="F8 2 2" xfId="61" xr:uid="{00000000-0005-0000-0000-00003C000000}"/>
    <cellStyle name="Fixed" xfId="62" xr:uid="{00000000-0005-0000-0000-00003D000000}"/>
    <cellStyle name="Fixed 2" xfId="63" xr:uid="{00000000-0005-0000-0000-00003E000000}"/>
    <cellStyle name="Fixed 2 2" xfId="64" xr:uid="{00000000-0005-0000-0000-00003F000000}"/>
    <cellStyle name="General" xfId="65" xr:uid="{00000000-0005-0000-0000-000040000000}"/>
    <cellStyle name="General 2" xfId="66" xr:uid="{00000000-0005-0000-0000-000041000000}"/>
    <cellStyle name="General 2 2" xfId="67" xr:uid="{00000000-0005-0000-0000-000042000000}"/>
    <cellStyle name="HEADING1" xfId="68" xr:uid="{00000000-0005-0000-0000-000043000000}"/>
    <cellStyle name="HEADING1 2" xfId="69" xr:uid="{00000000-0005-0000-0000-000044000000}"/>
    <cellStyle name="HEADING1 2 2" xfId="70" xr:uid="{00000000-0005-0000-0000-000045000000}"/>
    <cellStyle name="HEADING2" xfId="71" xr:uid="{00000000-0005-0000-0000-000046000000}"/>
    <cellStyle name="HEADING2 2" xfId="72" xr:uid="{00000000-0005-0000-0000-000047000000}"/>
    <cellStyle name="HEADING2 2 2" xfId="73" xr:uid="{00000000-0005-0000-0000-000048000000}"/>
    <cellStyle name="Hyperlink" xfId="74" builtinId="8"/>
    <cellStyle name="Level 1 (Normal)" xfId="75" xr:uid="{00000000-0005-0000-0000-00004A000000}"/>
    <cellStyle name="Normal" xfId="0" builtinId="0" customBuiltin="1"/>
    <cellStyle name="Normal 2" xfId="76" xr:uid="{00000000-0005-0000-0000-00004C000000}"/>
    <cellStyle name="normal 2 2" xfId="77" xr:uid="{00000000-0005-0000-0000-00004D000000}"/>
    <cellStyle name="normal 2 2 2" xfId="78" xr:uid="{00000000-0005-0000-0000-00004E000000}"/>
    <cellStyle name="Normal 2 3" xfId="79" xr:uid="{00000000-0005-0000-0000-00004F000000}"/>
    <cellStyle name="Notes#Total" xfId="80" xr:uid="{00000000-0005-0000-0000-000050000000}"/>
    <cellStyle name="numbers $ (no lines)" xfId="81" xr:uid="{00000000-0005-0000-0000-000051000000}"/>
    <cellStyle name="numbers $ double line" xfId="82" xr:uid="{00000000-0005-0000-0000-000052000000}"/>
    <cellStyle name="numbers only" xfId="83" xr:uid="{00000000-0005-0000-0000-000053000000}"/>
    <cellStyle name="numbers single line" xfId="84" xr:uid="{00000000-0005-0000-0000-000054000000}"/>
    <cellStyle name="Percent" xfId="85" builtinId="5"/>
    <cellStyle name="Percent (1 decimal)" xfId="86" xr:uid="{00000000-0005-0000-0000-000056000000}"/>
    <cellStyle name="Percent (1 decimal)dblln" xfId="87" xr:uid="{00000000-0005-0000-0000-000057000000}"/>
    <cellStyle name="Percent (1 decimal)singleln" xfId="88" xr:uid="{00000000-0005-0000-0000-000058000000}"/>
    <cellStyle name="Percent (2 decimals)" xfId="89" xr:uid="{00000000-0005-0000-0000-000059000000}"/>
    <cellStyle name="Percent (2 decimals)dblln" xfId="90" xr:uid="{00000000-0005-0000-0000-00005A000000}"/>
    <cellStyle name="Percent (2 decimals)singleln" xfId="91" xr:uid="{00000000-0005-0000-0000-00005B000000}"/>
    <cellStyle name="Percent [0]" xfId="92" xr:uid="{00000000-0005-0000-0000-00005C000000}"/>
    <cellStyle name="Percent [0] 2" xfId="93" xr:uid="{00000000-0005-0000-0000-00005D000000}"/>
    <cellStyle name="Percent [0] 2 2" xfId="94" xr:uid="{00000000-0005-0000-0000-00005E000000}"/>
    <cellStyle name="Percent [1]" xfId="95" xr:uid="{00000000-0005-0000-0000-00005F000000}"/>
    <cellStyle name="Percent [1] 2" xfId="96" xr:uid="{00000000-0005-0000-0000-000060000000}"/>
    <cellStyle name="Percent [1] 2 2" xfId="97" xr:uid="{00000000-0005-0000-0000-000061000000}"/>
    <cellStyle name="Split Words (Left Justify)" xfId="98" xr:uid="{00000000-0005-0000-0000-000062000000}"/>
    <cellStyle name="Split Words (Right Justify)" xfId="99" xr:uid="{00000000-0005-0000-0000-000063000000}"/>
    <cellStyle name="Text Column (12 indents)" xfId="100" xr:uid="{00000000-0005-0000-0000-000064000000}"/>
    <cellStyle name="Text Column (2 indents)" xfId="101" xr:uid="{00000000-0005-0000-0000-000065000000}"/>
    <cellStyle name="Text Column (4 indents)" xfId="102" xr:uid="{00000000-0005-0000-0000-000066000000}"/>
    <cellStyle name="Text Column (6 indents)" xfId="103" xr:uid="{00000000-0005-0000-0000-000067000000}"/>
    <cellStyle name="Text Column (8 indents)" xfId="104" xr:uid="{00000000-0005-0000-0000-000068000000}"/>
    <cellStyle name="Text Column (No indent)" xfId="105" xr:uid="{00000000-0005-0000-0000-000069000000}"/>
    <cellStyle name="Text Column (No indent)Bold" xfId="106" xr:uid="{00000000-0005-0000-0000-00006A000000}"/>
    <cellStyle name="Text Column (Total)" xfId="107" xr:uid="{00000000-0005-0000-0000-00006B000000}"/>
    <cellStyle name="Title 2" xfId="108" xr:uid="{00000000-0005-0000-0000-00006C000000}"/>
    <cellStyle name="Total 2" xfId="109" xr:uid="{00000000-0005-0000-0000-00006D000000}"/>
    <cellStyle name="Total 3" xfId="110" xr:uid="{00000000-0005-0000-0000-00006E000000}"/>
    <cellStyle name="Underline_Dbl" xfId="111"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FAE1-4AAA-9736-C4A0F0460C57}"/>
              </c:ext>
            </c:extLst>
          </c:dPt>
          <c:dPt>
            <c:idx val="1"/>
            <c:bubble3D val="0"/>
            <c:extLst>
              <c:ext xmlns:c16="http://schemas.microsoft.com/office/drawing/2014/chart" uri="{C3380CC4-5D6E-409C-BE32-E72D297353CC}">
                <c16:uniqueId val="{00000001-FAE1-4AAA-9736-C4A0F0460C57}"/>
              </c:ext>
            </c:extLst>
          </c:dPt>
          <c:dPt>
            <c:idx val="2"/>
            <c:bubble3D val="0"/>
            <c:extLst>
              <c:ext xmlns:c16="http://schemas.microsoft.com/office/drawing/2014/chart" uri="{C3380CC4-5D6E-409C-BE32-E72D297353CC}">
                <c16:uniqueId val="{00000002-FAE1-4AAA-9736-C4A0F0460C57}"/>
              </c:ext>
            </c:extLst>
          </c:dPt>
          <c:dPt>
            <c:idx val="3"/>
            <c:bubble3D val="0"/>
            <c:extLst>
              <c:ext xmlns:c16="http://schemas.microsoft.com/office/drawing/2014/chart" uri="{C3380CC4-5D6E-409C-BE32-E72D297353CC}">
                <c16:uniqueId val="{00000003-FAE1-4AAA-9736-C4A0F0460C57}"/>
              </c:ext>
            </c:extLst>
          </c:dPt>
          <c:dPt>
            <c:idx val="4"/>
            <c:bubble3D val="0"/>
            <c:extLst>
              <c:ext xmlns:c16="http://schemas.microsoft.com/office/drawing/2014/chart" uri="{C3380CC4-5D6E-409C-BE32-E72D297353CC}">
                <c16:uniqueId val="{00000004-FAE1-4AAA-9736-C4A0F0460C57}"/>
              </c:ext>
            </c:extLst>
          </c:dPt>
          <c:dPt>
            <c:idx val="5"/>
            <c:bubble3D val="0"/>
            <c:extLst>
              <c:ext xmlns:c16="http://schemas.microsoft.com/office/drawing/2014/chart" uri="{C3380CC4-5D6E-409C-BE32-E72D297353CC}">
                <c16:uniqueId val="{00000005-FAE1-4AAA-9736-C4A0F0460C57}"/>
              </c:ext>
            </c:extLst>
          </c:dPt>
          <c:dPt>
            <c:idx val="6"/>
            <c:bubble3D val="0"/>
            <c:extLst>
              <c:ext xmlns:c16="http://schemas.microsoft.com/office/drawing/2014/chart" uri="{C3380CC4-5D6E-409C-BE32-E72D297353CC}">
                <c16:uniqueId val="{00000006-FAE1-4AAA-9736-C4A0F0460C57}"/>
              </c:ext>
            </c:extLst>
          </c:dPt>
          <c:dPt>
            <c:idx val="7"/>
            <c:bubble3D val="0"/>
            <c:extLst>
              <c:ext xmlns:c16="http://schemas.microsoft.com/office/drawing/2014/chart" uri="{C3380CC4-5D6E-409C-BE32-E72D297353CC}">
                <c16:uniqueId val="{00000007-FAE1-4AAA-9736-C4A0F0460C57}"/>
              </c:ext>
            </c:extLst>
          </c:dPt>
          <c:dPt>
            <c:idx val="8"/>
            <c:bubble3D val="0"/>
            <c:extLst>
              <c:ext xmlns:c16="http://schemas.microsoft.com/office/drawing/2014/chart" uri="{C3380CC4-5D6E-409C-BE32-E72D297353CC}">
                <c16:uniqueId val="{00000008-FAE1-4AAA-9736-C4A0F0460C57}"/>
              </c:ext>
            </c:extLst>
          </c:dPt>
          <c:dPt>
            <c:idx val="9"/>
            <c:bubble3D val="0"/>
            <c:extLst>
              <c:ext xmlns:c16="http://schemas.microsoft.com/office/drawing/2014/chart" uri="{C3380CC4-5D6E-409C-BE32-E72D297353CC}">
                <c16:uniqueId val="{00000009-FAE1-4AAA-9736-C4A0F0460C57}"/>
              </c:ext>
            </c:extLst>
          </c:dPt>
          <c:dPt>
            <c:idx val="10"/>
            <c:bubble3D val="0"/>
            <c:extLst>
              <c:ext xmlns:c16="http://schemas.microsoft.com/office/drawing/2014/chart" uri="{C3380CC4-5D6E-409C-BE32-E72D297353CC}">
                <c16:uniqueId val="{0000000A-FAE1-4AAA-9736-C4A0F0460C57}"/>
              </c:ext>
            </c:extLst>
          </c:dPt>
          <c:cat>
            <c:strRef>
              <c:f>'Data Input'!$B$7:$B$17</c:f>
              <c:strCache>
                <c:ptCount val="11"/>
                <c:pt idx="0">
                  <c:v> Taxes </c:v>
                </c:pt>
                <c:pt idx="1">
                  <c:v> Licenses &amp; permits </c:v>
                </c:pt>
                <c:pt idx="2">
                  <c:v> from Federal Govt. </c:v>
                </c:pt>
                <c:pt idx="3">
                  <c:v> from State Govt. </c:v>
                </c:pt>
                <c:pt idx="4">
                  <c:v> Charges for services </c:v>
                </c:pt>
                <c:pt idx="5">
                  <c:v> Fines &amp; forfeitures </c:v>
                </c:pt>
                <c:pt idx="6">
                  <c:v> Interest &amp; rent </c:v>
                </c:pt>
                <c:pt idx="7">
                  <c:v> Special assessments </c:v>
                </c:pt>
                <c:pt idx="8">
                  <c:v> Other revenue </c:v>
                </c:pt>
                <c:pt idx="9">
                  <c:v> Net interfund transfers </c:v>
                </c:pt>
                <c:pt idx="10">
                  <c:v> Sale of debt or assets </c:v>
                </c:pt>
              </c:strCache>
            </c:strRef>
          </c:cat>
          <c:val>
            <c:numRef>
              <c:f>'Data Input'!$M$7:$M$17</c:f>
              <c:numCache>
                <c:formatCode>_(* #,##0_);_(* \(#,##0\);_(* "-"_);_(@_)</c:formatCode>
                <c:ptCount val="11"/>
                <c:pt idx="0">
                  <c:v>31569832</c:v>
                </c:pt>
                <c:pt idx="1">
                  <c:v>992605</c:v>
                </c:pt>
                <c:pt idx="2">
                  <c:v>1379799</c:v>
                </c:pt>
                <c:pt idx="3">
                  <c:v>8963946</c:v>
                </c:pt>
                <c:pt idx="4">
                  <c:v>13062468</c:v>
                </c:pt>
                <c:pt idx="5">
                  <c:v>1398246</c:v>
                </c:pt>
                <c:pt idx="6">
                  <c:v>897958</c:v>
                </c:pt>
                <c:pt idx="7">
                  <c:v>15845</c:v>
                </c:pt>
                <c:pt idx="8">
                  <c:v>2973253</c:v>
                </c:pt>
                <c:pt idx="9">
                  <c:v>0</c:v>
                </c:pt>
                <c:pt idx="10">
                  <c:v>11835</c:v>
                </c:pt>
              </c:numCache>
            </c:numRef>
          </c:val>
          <c:extLst>
            <c:ext xmlns:c16="http://schemas.microsoft.com/office/drawing/2014/chart" uri="{C3380CC4-5D6E-409C-BE32-E72D297353CC}">
              <c16:uniqueId val="{0000000B-FAE1-4AAA-9736-C4A0F0460C5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946368828359979"/>
          <c:y val="0.13253019930372206"/>
          <c:w val="0.31612967906908629"/>
          <c:h val="0.72590356472503248"/>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'Data Input'!$B$47</c:f>
              <c:strCache>
                <c:ptCount val="1"/>
                <c:pt idx="0">
                  <c:v> Assets </c:v>
                </c:pt>
              </c:strCache>
            </c:strRef>
          </c:tx>
          <c:spPr>
            <a:ln w="44450"/>
          </c:spPr>
          <c:marker>
            <c:symbol val="none"/>
          </c:marker>
          <c:cat>
            <c:numRef>
              <c:f>'Data Input'!$J$46:$M$46</c:f>
              <c:numCache>
                <c:formatCode>m/d/yyyy</c:formatCode>
                <c:ptCount val="4"/>
                <c:pt idx="0">
                  <c:v>43830</c:v>
                </c:pt>
                <c:pt idx="1">
                  <c:v>44196</c:v>
                </c:pt>
                <c:pt idx="2">
                  <c:v>44561</c:v>
                </c:pt>
                <c:pt idx="3">
                  <c:v>44926</c:v>
                </c:pt>
              </c:numCache>
            </c:numRef>
          </c:cat>
          <c:val>
            <c:numRef>
              <c:f>'Data Input'!$J$47:$M$47</c:f>
              <c:numCache>
                <c:formatCode>_(* #,##0_);_(* \(#,##0\);_(* "-"_);_(@_)</c:formatCode>
                <c:ptCount val="4"/>
                <c:pt idx="0">
                  <c:v>167210143</c:v>
                </c:pt>
                <c:pt idx="1">
                  <c:v>183705345</c:v>
                </c:pt>
                <c:pt idx="2">
                  <c:v>204677151</c:v>
                </c:pt>
                <c:pt idx="3">
                  <c:v>167705118</c:v>
                </c:pt>
              </c:numCache>
            </c:numRef>
          </c:val>
          <c:smooth val="0"/>
          <c:extLst>
            <c:ext xmlns:c16="http://schemas.microsoft.com/office/drawing/2014/chart" uri="{C3380CC4-5D6E-409C-BE32-E72D297353CC}">
              <c16:uniqueId val="{00000000-997E-4039-BCE5-F10D7EFFC464}"/>
            </c:ext>
          </c:extLst>
        </c:ser>
        <c:ser>
          <c:idx val="1"/>
          <c:order val="1"/>
          <c:tx>
            <c:strRef>
              <c:f>'Data Input'!$B$48</c:f>
              <c:strCache>
                <c:ptCount val="1"/>
                <c:pt idx="0">
                  <c:v> Actuarial Liab./TPL </c:v>
                </c:pt>
              </c:strCache>
            </c:strRef>
          </c:tx>
          <c:spPr>
            <a:ln w="44450"/>
          </c:spPr>
          <c:marker>
            <c:symbol val="none"/>
          </c:marker>
          <c:cat>
            <c:numRef>
              <c:f>'Data Input'!$J$46:$M$46</c:f>
              <c:numCache>
                <c:formatCode>m/d/yyyy</c:formatCode>
                <c:ptCount val="4"/>
                <c:pt idx="0">
                  <c:v>43830</c:v>
                </c:pt>
                <c:pt idx="1">
                  <c:v>44196</c:v>
                </c:pt>
                <c:pt idx="2">
                  <c:v>44561</c:v>
                </c:pt>
                <c:pt idx="3">
                  <c:v>44926</c:v>
                </c:pt>
              </c:numCache>
            </c:numRef>
          </c:cat>
          <c:val>
            <c:numRef>
              <c:f>'Data Input'!$J$48:$M$48</c:f>
              <c:numCache>
                <c:formatCode>_(* #,##0_);_(* \(#,##0\);_(* "-"_);_(@_)</c:formatCode>
                <c:ptCount val="4"/>
                <c:pt idx="0">
                  <c:v>180591984</c:v>
                </c:pt>
                <c:pt idx="1">
                  <c:v>183206598</c:v>
                </c:pt>
                <c:pt idx="2">
                  <c:v>186257656</c:v>
                </c:pt>
                <c:pt idx="3">
                  <c:v>189292443</c:v>
                </c:pt>
              </c:numCache>
            </c:numRef>
          </c:val>
          <c:smooth val="0"/>
          <c:extLst>
            <c:ext xmlns:c16="http://schemas.microsoft.com/office/drawing/2014/chart" uri="{C3380CC4-5D6E-409C-BE32-E72D297353CC}">
              <c16:uniqueId val="{00000001-997E-4039-BCE5-F10D7EFFC464}"/>
            </c:ext>
          </c:extLst>
        </c:ser>
        <c:dLbls>
          <c:showLegendKey val="0"/>
          <c:showVal val="0"/>
          <c:showCatName val="0"/>
          <c:showSerName val="0"/>
          <c:showPercent val="0"/>
          <c:showBubbleSize val="0"/>
        </c:dLbls>
        <c:smooth val="0"/>
        <c:axId val="474019840"/>
        <c:axId val="1"/>
      </c:lineChart>
      <c:catAx>
        <c:axId val="474019840"/>
        <c:scaling>
          <c:orientation val="minMax"/>
        </c:scaling>
        <c:delete val="0"/>
        <c:axPos val="b"/>
        <c:numFmt formatCode="[$-409]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019840"/>
        <c:crosses val="autoZero"/>
        <c:crossBetween val="between"/>
      </c:valAx>
    </c:plotArea>
    <c:legend>
      <c:legendPos val="r"/>
      <c:layout>
        <c:manualLayout>
          <c:xMode val="edge"/>
          <c:yMode val="edge"/>
          <c:x val="0.70384323621268408"/>
          <c:y val="0.61599099099099097"/>
          <c:w val="0.27633324766154976"/>
          <c:h val="0.20270270270270274"/>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'Data Input'!$B$53</c:f>
              <c:strCache>
                <c:ptCount val="1"/>
                <c:pt idx="0">
                  <c:v> Assets </c:v>
                </c:pt>
              </c:strCache>
            </c:strRef>
          </c:tx>
          <c:spPr>
            <a:ln w="44450"/>
          </c:spPr>
          <c:marker>
            <c:symbol val="none"/>
          </c:marker>
          <c:cat>
            <c:numRef>
              <c:f>'Data Input'!$D$52:$M$52</c:f>
              <c:numCache>
                <c:formatCode>m/d/yyyy</c:formatCode>
                <c:ptCount val="5"/>
                <c:pt idx="0">
                  <c:v>43465</c:v>
                </c:pt>
                <c:pt idx="1">
                  <c:v>43830</c:v>
                </c:pt>
                <c:pt idx="2">
                  <c:v>44196</c:v>
                </c:pt>
                <c:pt idx="3">
                  <c:v>44561</c:v>
                </c:pt>
                <c:pt idx="4">
                  <c:v>44926</c:v>
                </c:pt>
              </c:numCache>
            </c:numRef>
          </c:cat>
          <c:val>
            <c:numRef>
              <c:f>'Data Input'!$D$53:$M$53</c:f>
              <c:numCache>
                <c:formatCode>_(* #,##0_);_(* \(#,##0\);_(* "-"_);_(@_)</c:formatCode>
                <c:ptCount val="5"/>
                <c:pt idx="0">
                  <c:v>14058032</c:v>
                </c:pt>
                <c:pt idx="1">
                  <c:v>22152960</c:v>
                </c:pt>
                <c:pt idx="2">
                  <c:v>30597183</c:v>
                </c:pt>
                <c:pt idx="3">
                  <c:v>41080230</c:v>
                </c:pt>
                <c:pt idx="4">
                  <c:v>39478808</c:v>
                </c:pt>
              </c:numCache>
            </c:numRef>
          </c:val>
          <c:smooth val="0"/>
          <c:extLst>
            <c:ext xmlns:c16="http://schemas.microsoft.com/office/drawing/2014/chart" uri="{C3380CC4-5D6E-409C-BE32-E72D297353CC}">
              <c16:uniqueId val="{00000000-84D6-46A4-AAF2-A52BEFB0FBDB}"/>
            </c:ext>
          </c:extLst>
        </c:ser>
        <c:ser>
          <c:idx val="1"/>
          <c:order val="1"/>
          <c:tx>
            <c:strRef>
              <c:f>'Data Input'!$B$54</c:f>
              <c:strCache>
                <c:ptCount val="1"/>
                <c:pt idx="0">
                  <c:v> Actuarial Liability </c:v>
                </c:pt>
              </c:strCache>
            </c:strRef>
          </c:tx>
          <c:spPr>
            <a:ln w="44450"/>
          </c:spPr>
          <c:marker>
            <c:symbol val="none"/>
          </c:marker>
          <c:cat>
            <c:numRef>
              <c:f>'Data Input'!$D$52:$M$52</c:f>
              <c:numCache>
                <c:formatCode>m/d/yyyy</c:formatCode>
                <c:ptCount val="5"/>
                <c:pt idx="0">
                  <c:v>43465</c:v>
                </c:pt>
                <c:pt idx="1">
                  <c:v>43830</c:v>
                </c:pt>
                <c:pt idx="2">
                  <c:v>44196</c:v>
                </c:pt>
                <c:pt idx="3">
                  <c:v>44561</c:v>
                </c:pt>
                <c:pt idx="4">
                  <c:v>44926</c:v>
                </c:pt>
              </c:numCache>
            </c:numRef>
          </c:cat>
          <c:val>
            <c:numRef>
              <c:f>'Data Input'!$D$54:$M$54</c:f>
              <c:numCache>
                <c:formatCode>_(* #,##0_);_(* \(#,##0\);_(* "-"_);_(@_)</c:formatCode>
                <c:ptCount val="5"/>
                <c:pt idx="0">
                  <c:v>168056281</c:v>
                </c:pt>
                <c:pt idx="1">
                  <c:v>155197432</c:v>
                </c:pt>
                <c:pt idx="2">
                  <c:v>160692316</c:v>
                </c:pt>
                <c:pt idx="3">
                  <c:v>150788543</c:v>
                </c:pt>
                <c:pt idx="4">
                  <c:v>120339872</c:v>
                </c:pt>
              </c:numCache>
            </c:numRef>
          </c:val>
          <c:smooth val="0"/>
          <c:extLst>
            <c:ext xmlns:c16="http://schemas.microsoft.com/office/drawing/2014/chart" uri="{C3380CC4-5D6E-409C-BE32-E72D297353CC}">
              <c16:uniqueId val="{00000001-84D6-46A4-AAF2-A52BEFB0FBDB}"/>
            </c:ext>
          </c:extLst>
        </c:ser>
        <c:dLbls>
          <c:showLegendKey val="0"/>
          <c:showVal val="0"/>
          <c:showCatName val="0"/>
          <c:showSerName val="0"/>
          <c:showPercent val="0"/>
          <c:showBubbleSize val="0"/>
        </c:dLbls>
        <c:smooth val="0"/>
        <c:axId val="474019184"/>
        <c:axId val="1"/>
      </c:lineChart>
      <c:catAx>
        <c:axId val="474019184"/>
        <c:scaling>
          <c:orientation val="minMax"/>
        </c:scaling>
        <c:delete val="0"/>
        <c:axPos val="b"/>
        <c:numFmt formatCode="[$-409]mmm\-yy;@"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019184"/>
        <c:crosses val="autoZero"/>
        <c:crossBetween val="between"/>
      </c:valAx>
    </c:plotArea>
    <c:legend>
      <c:legendPos val="r"/>
      <c:layout>
        <c:manualLayout>
          <c:xMode val="edge"/>
          <c:yMode val="edge"/>
          <c:x val="0.71709211498263326"/>
          <c:y val="0.59444724409448824"/>
          <c:w val="0.26289719773052322"/>
          <c:h val="0.24444479440069988"/>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 Input'!$A$68:$B$68</c:f>
              <c:strCache>
                <c:ptCount val="2"/>
                <c:pt idx="0">
                  <c:v> Structured debt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Input'!$D$68:$M$68</c:f>
              <c:numCache>
                <c:formatCode>_(* #,##0_);_(* \(#,##0\);_(* "-"_);_(@_)</c:formatCode>
                <c:ptCount val="5"/>
                <c:pt idx="0">
                  <c:v>860568</c:v>
                </c:pt>
                <c:pt idx="1">
                  <c:v>566924</c:v>
                </c:pt>
                <c:pt idx="2">
                  <c:v>265457</c:v>
                </c:pt>
                <c:pt idx="3">
                  <c:v>0</c:v>
                </c:pt>
                <c:pt idx="4">
                  <c:v>0</c:v>
                </c:pt>
              </c:numCache>
            </c:numRef>
          </c:val>
          <c:extLst>
            <c:ext xmlns:c16="http://schemas.microsoft.com/office/drawing/2014/chart" uri="{C3380CC4-5D6E-409C-BE32-E72D297353CC}">
              <c16:uniqueId val="{00000000-6F00-4243-A5B4-9AD44EEAFF9E}"/>
            </c:ext>
          </c:extLst>
        </c:ser>
        <c:ser>
          <c:idx val="1"/>
          <c:order val="1"/>
          <c:tx>
            <c:strRef>
              <c:f>'Data Input'!$A$69:$B$69</c:f>
              <c:strCache>
                <c:ptCount val="2"/>
                <c:pt idx="0">
                  <c:v> Employee compensated absences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Input'!$D$69:$M$69</c:f>
              <c:numCache>
                <c:formatCode>_(* #,##0_);_(* \(#,##0\);_(* "-"_);_(@_)</c:formatCode>
                <c:ptCount val="5"/>
                <c:pt idx="0">
                  <c:v>2672171</c:v>
                </c:pt>
                <c:pt idx="1">
                  <c:v>2699185</c:v>
                </c:pt>
                <c:pt idx="2">
                  <c:v>2909724</c:v>
                </c:pt>
                <c:pt idx="3">
                  <c:v>2623981</c:v>
                </c:pt>
                <c:pt idx="4">
                  <c:v>2489488</c:v>
                </c:pt>
              </c:numCache>
            </c:numRef>
          </c:val>
          <c:extLst>
            <c:ext xmlns:c16="http://schemas.microsoft.com/office/drawing/2014/chart" uri="{C3380CC4-5D6E-409C-BE32-E72D297353CC}">
              <c16:uniqueId val="{00000001-6F00-4243-A5B4-9AD44EEAFF9E}"/>
            </c:ext>
          </c:extLst>
        </c:ser>
        <c:ser>
          <c:idx val="2"/>
          <c:order val="2"/>
          <c:tx>
            <c:strRef>
              <c:f>'Data Input'!$A$70:$B$70</c:f>
              <c:strCache>
                <c:ptCount val="2"/>
                <c:pt idx="0">
                  <c:v> Landfill closure &amp; postclosure care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Input'!$D$70:$M$70</c:f>
            </c:numRef>
          </c:val>
          <c:extLst>
            <c:ext xmlns:c16="http://schemas.microsoft.com/office/drawing/2014/chart" uri="{C3380CC4-5D6E-409C-BE32-E72D297353CC}">
              <c16:uniqueId val="{00000002-6F00-4243-A5B4-9AD44EEAFF9E}"/>
            </c:ext>
          </c:extLst>
        </c:ser>
        <c:ser>
          <c:idx val="3"/>
          <c:order val="3"/>
          <c:tx>
            <c:strRef>
              <c:f>'Data Input'!$A$71:$B$71</c:f>
              <c:strCache>
                <c:ptCount val="2"/>
                <c:pt idx="0">
                  <c:v> Uninsured losses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Input'!$D$71:$M$71</c:f>
            </c:numRef>
          </c:val>
          <c:extLst>
            <c:ext xmlns:c16="http://schemas.microsoft.com/office/drawing/2014/chart" uri="{C3380CC4-5D6E-409C-BE32-E72D297353CC}">
              <c16:uniqueId val="{00000003-6F00-4243-A5B4-9AD44EEAFF9E}"/>
            </c:ext>
          </c:extLst>
        </c:ser>
        <c:ser>
          <c:idx val="4"/>
          <c:order val="4"/>
          <c:tx>
            <c:strRef>
              <c:f>'Data Input'!$A$72:$B$72</c:f>
              <c:strCache>
                <c:ptCount val="2"/>
                <c:pt idx="0">
                  <c:v> Other claims &amp; contingencies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Input'!$D$72:$M$72</c:f>
              <c:numCache>
                <c:formatCode>_(* #,##0_);_(* \(#,##0\);_(* "-"_);_(@_)</c:formatCode>
                <c:ptCount val="5"/>
                <c:pt idx="0">
                  <c:v>1019615</c:v>
                </c:pt>
                <c:pt idx="1">
                  <c:v>1003240</c:v>
                </c:pt>
                <c:pt idx="2">
                  <c:v>1045284</c:v>
                </c:pt>
                <c:pt idx="3">
                  <c:v>981274</c:v>
                </c:pt>
                <c:pt idx="4">
                  <c:v>731507</c:v>
                </c:pt>
              </c:numCache>
            </c:numRef>
          </c:val>
          <c:extLst>
            <c:ext xmlns:c16="http://schemas.microsoft.com/office/drawing/2014/chart" uri="{C3380CC4-5D6E-409C-BE32-E72D297353CC}">
              <c16:uniqueId val="{00000004-6F00-4243-A5B4-9AD44EEAFF9E}"/>
            </c:ext>
          </c:extLst>
        </c:ser>
        <c:dLbls>
          <c:showLegendKey val="0"/>
          <c:showVal val="0"/>
          <c:showCatName val="0"/>
          <c:showSerName val="0"/>
          <c:showPercent val="0"/>
          <c:showBubbleSize val="0"/>
        </c:dLbls>
        <c:gapWidth val="150"/>
        <c:overlap val="100"/>
        <c:axId val="474021480"/>
        <c:axId val="1"/>
      </c:barChart>
      <c:catAx>
        <c:axId val="4740214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021480"/>
        <c:crosses val="autoZero"/>
        <c:crossBetween val="between"/>
      </c:valAx>
    </c:plotArea>
    <c:legend>
      <c:legendPos val="r"/>
      <c:layout>
        <c:manualLayout>
          <c:xMode val="edge"/>
          <c:yMode val="edge"/>
          <c:x val="0.67190343394575669"/>
          <c:y val="0.16666736657917761"/>
          <c:w val="0.31588181685622629"/>
          <c:h val="0.67000209973753289"/>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 Input'!$A$68</c:f>
              <c:strCache>
                <c:ptCount val="1"/>
                <c:pt idx="0">
                  <c:v> Structured debt </c:v>
                </c:pt>
              </c:strCache>
            </c:strRef>
          </c:tx>
          <c:invertIfNegative val="0"/>
          <c:cat>
            <c:numRef>
              <c:f>'Data Input'!$N$2:$O$2</c:f>
              <c:numCache>
                <c:formatCode>General</c:formatCode>
                <c:ptCount val="2"/>
                <c:pt idx="0">
                  <c:v>2021</c:v>
                </c:pt>
                <c:pt idx="1">
                  <c:v>2022</c:v>
                </c:pt>
              </c:numCache>
            </c:numRef>
          </c:cat>
          <c:val>
            <c:numRef>
              <c:f>'Data Input'!$N$68:$O$68</c:f>
              <c:numCache>
                <c:formatCode>_(* #,##0_);_(* \(#,##0\);_(* "-"_);_(@_)</c:formatCode>
                <c:ptCount val="2"/>
                <c:pt idx="0">
                  <c:v>0</c:v>
                </c:pt>
                <c:pt idx="1">
                  <c:v>0</c:v>
                </c:pt>
              </c:numCache>
            </c:numRef>
          </c:val>
          <c:extLst>
            <c:ext xmlns:c16="http://schemas.microsoft.com/office/drawing/2014/chart" uri="{C3380CC4-5D6E-409C-BE32-E72D297353CC}">
              <c16:uniqueId val="{00000000-6B1E-412A-8CDB-E497E0C25EB2}"/>
            </c:ext>
          </c:extLst>
        </c:ser>
        <c:ser>
          <c:idx val="1"/>
          <c:order val="1"/>
          <c:tx>
            <c:strRef>
              <c:f>'Data Input'!$A$69</c:f>
              <c:strCache>
                <c:ptCount val="1"/>
                <c:pt idx="0">
                  <c:v> Employee compensated absences </c:v>
                </c:pt>
              </c:strCache>
            </c:strRef>
          </c:tx>
          <c:invertIfNegative val="0"/>
          <c:cat>
            <c:numRef>
              <c:f>'Data Input'!$N$2:$O$2</c:f>
              <c:numCache>
                <c:formatCode>General</c:formatCode>
                <c:ptCount val="2"/>
                <c:pt idx="0">
                  <c:v>2021</c:v>
                </c:pt>
                <c:pt idx="1">
                  <c:v>2022</c:v>
                </c:pt>
              </c:numCache>
            </c:numRef>
          </c:cat>
          <c:val>
            <c:numRef>
              <c:f>'Data Input'!$N$69:$O$69</c:f>
              <c:numCache>
                <c:formatCode>_(* #,##0_);_(* \(#,##0\);_(* "-"_);_(@_)</c:formatCode>
                <c:ptCount val="2"/>
                <c:pt idx="0">
                  <c:v>36.020000000000003</c:v>
                </c:pt>
                <c:pt idx="1">
                  <c:v>35.07</c:v>
                </c:pt>
              </c:numCache>
            </c:numRef>
          </c:val>
          <c:extLst>
            <c:ext xmlns:c16="http://schemas.microsoft.com/office/drawing/2014/chart" uri="{C3380CC4-5D6E-409C-BE32-E72D297353CC}">
              <c16:uniqueId val="{00000001-6B1E-412A-8CDB-E497E0C25EB2}"/>
            </c:ext>
          </c:extLst>
        </c:ser>
        <c:ser>
          <c:idx val="2"/>
          <c:order val="2"/>
          <c:tx>
            <c:strRef>
              <c:f>'Data Input'!$A$70</c:f>
              <c:strCache>
                <c:ptCount val="1"/>
                <c:pt idx="0">
                  <c:v> Landfill closure &amp; postclosure care </c:v>
                </c:pt>
              </c:strCache>
            </c:strRef>
          </c:tx>
          <c:invertIfNegative val="0"/>
          <c:cat>
            <c:numRef>
              <c:f>'Data Input'!$N$2:$O$2</c:f>
              <c:numCache>
                <c:formatCode>General</c:formatCode>
                <c:ptCount val="2"/>
                <c:pt idx="0">
                  <c:v>2021</c:v>
                </c:pt>
                <c:pt idx="1">
                  <c:v>2022</c:v>
                </c:pt>
              </c:numCache>
            </c:numRef>
          </c:cat>
          <c:val>
            <c:numRef>
              <c:f>'Data Input'!$N$70:$O$70</c:f>
            </c:numRef>
          </c:val>
          <c:extLst>
            <c:ext xmlns:c16="http://schemas.microsoft.com/office/drawing/2014/chart" uri="{C3380CC4-5D6E-409C-BE32-E72D297353CC}">
              <c16:uniqueId val="{00000002-6B1E-412A-8CDB-E497E0C25EB2}"/>
            </c:ext>
          </c:extLst>
        </c:ser>
        <c:ser>
          <c:idx val="3"/>
          <c:order val="3"/>
          <c:tx>
            <c:strRef>
              <c:f>'Data Input'!$A$71</c:f>
              <c:strCache>
                <c:ptCount val="1"/>
                <c:pt idx="0">
                  <c:v> Uninsured losses </c:v>
                </c:pt>
              </c:strCache>
            </c:strRef>
          </c:tx>
          <c:invertIfNegative val="0"/>
          <c:cat>
            <c:numRef>
              <c:f>'Data Input'!$N$2:$O$2</c:f>
              <c:numCache>
                <c:formatCode>General</c:formatCode>
                <c:ptCount val="2"/>
                <c:pt idx="0">
                  <c:v>2021</c:v>
                </c:pt>
                <c:pt idx="1">
                  <c:v>2022</c:v>
                </c:pt>
              </c:numCache>
            </c:numRef>
          </c:cat>
          <c:val>
            <c:numRef>
              <c:f>'Data Input'!$N$71:$O$71</c:f>
            </c:numRef>
          </c:val>
          <c:extLst>
            <c:ext xmlns:c16="http://schemas.microsoft.com/office/drawing/2014/chart" uri="{C3380CC4-5D6E-409C-BE32-E72D297353CC}">
              <c16:uniqueId val="{00000003-6B1E-412A-8CDB-E497E0C25EB2}"/>
            </c:ext>
          </c:extLst>
        </c:ser>
        <c:ser>
          <c:idx val="4"/>
          <c:order val="4"/>
          <c:tx>
            <c:strRef>
              <c:f>'Data Input'!$A$72</c:f>
              <c:strCache>
                <c:ptCount val="1"/>
                <c:pt idx="0">
                  <c:v> Other claims &amp; contingencies </c:v>
                </c:pt>
              </c:strCache>
            </c:strRef>
          </c:tx>
          <c:invertIfNegative val="0"/>
          <c:cat>
            <c:numRef>
              <c:f>'Data Input'!$N$2:$O$2</c:f>
              <c:numCache>
                <c:formatCode>General</c:formatCode>
                <c:ptCount val="2"/>
                <c:pt idx="0">
                  <c:v>2021</c:v>
                </c:pt>
                <c:pt idx="1">
                  <c:v>2022</c:v>
                </c:pt>
              </c:numCache>
            </c:numRef>
          </c:cat>
          <c:val>
            <c:numRef>
              <c:f>'Data Input'!$N$72:$O$72</c:f>
              <c:numCache>
                <c:formatCode>_(* #,##0_);_(* \(#,##0\);_(* "-"_);_(@_)</c:formatCode>
                <c:ptCount val="2"/>
                <c:pt idx="0">
                  <c:v>13.47</c:v>
                </c:pt>
                <c:pt idx="1">
                  <c:v>10.31</c:v>
                </c:pt>
              </c:numCache>
            </c:numRef>
          </c:val>
          <c:extLst>
            <c:ext xmlns:c16="http://schemas.microsoft.com/office/drawing/2014/chart" uri="{C3380CC4-5D6E-409C-BE32-E72D297353CC}">
              <c16:uniqueId val="{00000004-6B1E-412A-8CDB-E497E0C25EB2}"/>
            </c:ext>
          </c:extLst>
        </c:ser>
        <c:dLbls>
          <c:showLegendKey val="0"/>
          <c:showVal val="0"/>
          <c:showCatName val="0"/>
          <c:showSerName val="0"/>
          <c:showPercent val="0"/>
          <c:showBubbleSize val="0"/>
        </c:dLbls>
        <c:gapWidth val="150"/>
        <c:overlap val="100"/>
        <c:axId val="474169000"/>
        <c:axId val="1"/>
      </c:barChart>
      <c:catAx>
        <c:axId val="4741690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169000"/>
        <c:crosses val="autoZero"/>
        <c:crossBetween val="between"/>
      </c:valAx>
    </c:plotArea>
    <c:legend>
      <c:legendPos val="r"/>
      <c:layout>
        <c:manualLayout>
          <c:xMode val="edge"/>
          <c:yMode val="edge"/>
          <c:x val="0.67012452309440707"/>
          <c:y val="0.16666736657917761"/>
          <c:w val="0.31742728035284251"/>
          <c:h val="0.67000209973753289"/>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Input'!$L$46</c:f>
              <c:strCache>
                <c:ptCount val="1"/>
                <c:pt idx="0">
                  <c:v>12/31/2021</c:v>
                </c:pt>
              </c:strCache>
            </c:strRef>
          </c:tx>
          <c:invertIfNegative val="0"/>
          <c:cat>
            <c:strRef>
              <c:f>('Data Input'!$A$45,'Data Input'!$A$51,'Data Input'!$A$57)</c:f>
              <c:strCache>
                <c:ptCount val="3"/>
                <c:pt idx="0">
                  <c:v> Pensions </c:v>
                </c:pt>
                <c:pt idx="1">
                  <c:v> OPEB </c:v>
                </c:pt>
                <c:pt idx="2">
                  <c:v> Sum of all pension &amp; OPEB plans </c:v>
                </c:pt>
              </c:strCache>
            </c:strRef>
          </c:cat>
          <c:val>
            <c:numRef>
              <c:f>('Data Input'!$L$50,'Data Input'!$L$56,'Data Input'!$L$61)</c:f>
              <c:numCache>
                <c:formatCode>0%</c:formatCode>
                <c:ptCount val="3"/>
                <c:pt idx="0">
                  <c:v>1.0988925523684245</c:v>
                </c:pt>
                <c:pt idx="1">
                  <c:v>0.27243601657454836</c:v>
                </c:pt>
                <c:pt idx="2">
                  <c:v>0.72915043020556358</c:v>
                </c:pt>
              </c:numCache>
            </c:numRef>
          </c:val>
          <c:extLst>
            <c:ext xmlns:c16="http://schemas.microsoft.com/office/drawing/2014/chart" uri="{C3380CC4-5D6E-409C-BE32-E72D297353CC}">
              <c16:uniqueId val="{00000000-3D93-41A9-B944-B4B282A4FCBD}"/>
            </c:ext>
          </c:extLst>
        </c:ser>
        <c:ser>
          <c:idx val="1"/>
          <c:order val="1"/>
          <c:tx>
            <c:strRef>
              <c:f>'Data Input'!$M$46</c:f>
              <c:strCache>
                <c:ptCount val="1"/>
                <c:pt idx="0">
                  <c:v>12/31/2022</c:v>
                </c:pt>
              </c:strCache>
            </c:strRef>
          </c:tx>
          <c:invertIfNegative val="0"/>
          <c:cat>
            <c:strRef>
              <c:f>('Data Input'!$A$45,'Data Input'!$A$51,'Data Input'!$A$57)</c:f>
              <c:strCache>
                <c:ptCount val="3"/>
                <c:pt idx="0">
                  <c:v> Pensions </c:v>
                </c:pt>
                <c:pt idx="1">
                  <c:v> OPEB </c:v>
                </c:pt>
                <c:pt idx="2">
                  <c:v> Sum of all pension &amp; OPEB plans </c:v>
                </c:pt>
              </c:strCache>
            </c:strRef>
          </c:cat>
          <c:val>
            <c:numRef>
              <c:f>('Data Input'!$M$50,'Data Input'!$M$56,'Data Input'!$M$61)</c:f>
              <c:numCache>
                <c:formatCode>0%</c:formatCode>
                <c:ptCount val="3"/>
                <c:pt idx="0">
                  <c:v>0.88595780868019125</c:v>
                </c:pt>
                <c:pt idx="1">
                  <c:v>0.32806091068469806</c:v>
                </c:pt>
                <c:pt idx="2">
                  <c:v>0.66912888598207199</c:v>
                </c:pt>
              </c:numCache>
            </c:numRef>
          </c:val>
          <c:extLst>
            <c:ext xmlns:c16="http://schemas.microsoft.com/office/drawing/2014/chart" uri="{C3380CC4-5D6E-409C-BE32-E72D297353CC}">
              <c16:uniqueId val="{00000001-3D93-41A9-B944-B4B282A4FCBD}"/>
            </c:ext>
          </c:extLst>
        </c:ser>
        <c:dLbls>
          <c:showLegendKey val="0"/>
          <c:showVal val="0"/>
          <c:showCatName val="0"/>
          <c:showSerName val="0"/>
          <c:showPercent val="0"/>
          <c:showBubbleSize val="0"/>
        </c:dLbls>
        <c:gapWidth val="150"/>
        <c:axId val="474166704"/>
        <c:axId val="1"/>
      </c:barChart>
      <c:catAx>
        <c:axId val="474166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166704"/>
        <c:crosses val="autoZero"/>
        <c:crossBetween val="between"/>
      </c:valAx>
    </c:plotArea>
    <c:legend>
      <c:legendPos val="r"/>
      <c:layout>
        <c:manualLayout>
          <c:xMode val="edge"/>
          <c:yMode val="edge"/>
          <c:x val="5.6952532096278659E-2"/>
          <c:y val="0.89632107023411367"/>
          <c:w val="0.49218878647920944"/>
          <c:h val="8.0267558528428151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Input'!$N$2</c:f>
              <c:strCache>
                <c:ptCount val="1"/>
                <c:pt idx="0">
                  <c:v>2021</c:v>
                </c:pt>
              </c:strCache>
            </c:strRef>
          </c:tx>
          <c:invertIfNegative val="0"/>
          <c:cat>
            <c:strRef>
              <c:f>'Data Input'!$B$7:$B$17</c:f>
              <c:strCache>
                <c:ptCount val="11"/>
                <c:pt idx="0">
                  <c:v> Taxes </c:v>
                </c:pt>
                <c:pt idx="1">
                  <c:v> Licenses &amp; permits </c:v>
                </c:pt>
                <c:pt idx="2">
                  <c:v> from Federal Govt. </c:v>
                </c:pt>
                <c:pt idx="3">
                  <c:v> from State Govt. </c:v>
                </c:pt>
                <c:pt idx="4">
                  <c:v> Charges for services </c:v>
                </c:pt>
                <c:pt idx="5">
                  <c:v> Fines &amp; forfeitures </c:v>
                </c:pt>
                <c:pt idx="6">
                  <c:v> Interest &amp; rent </c:v>
                </c:pt>
                <c:pt idx="7">
                  <c:v> Special assessments </c:v>
                </c:pt>
                <c:pt idx="8">
                  <c:v> Other revenue </c:v>
                </c:pt>
                <c:pt idx="9">
                  <c:v> Net interfund transfers </c:v>
                </c:pt>
                <c:pt idx="10">
                  <c:v> Sale of debt or assets </c:v>
                </c:pt>
              </c:strCache>
            </c:strRef>
          </c:cat>
          <c:val>
            <c:numRef>
              <c:f>'Data Input'!$N$7:$N$17</c:f>
              <c:numCache>
                <c:formatCode>_(* #,##0_);_(* \(#,##0\);_(* "-"_);_(@_)</c:formatCode>
                <c:ptCount val="11"/>
                <c:pt idx="0">
                  <c:v>424.88</c:v>
                </c:pt>
                <c:pt idx="1">
                  <c:v>12.37</c:v>
                </c:pt>
                <c:pt idx="2">
                  <c:v>14.6</c:v>
                </c:pt>
                <c:pt idx="3">
                  <c:v>115.92</c:v>
                </c:pt>
                <c:pt idx="4">
                  <c:v>169.98</c:v>
                </c:pt>
                <c:pt idx="5">
                  <c:v>20.46</c:v>
                </c:pt>
                <c:pt idx="6">
                  <c:v>11.63</c:v>
                </c:pt>
                <c:pt idx="7">
                  <c:v>0.22</c:v>
                </c:pt>
                <c:pt idx="8">
                  <c:v>33.24</c:v>
                </c:pt>
                <c:pt idx="9">
                  <c:v>0</c:v>
                </c:pt>
                <c:pt idx="10">
                  <c:v>0.26</c:v>
                </c:pt>
              </c:numCache>
            </c:numRef>
          </c:val>
          <c:extLst>
            <c:ext xmlns:c16="http://schemas.microsoft.com/office/drawing/2014/chart" uri="{C3380CC4-5D6E-409C-BE32-E72D297353CC}">
              <c16:uniqueId val="{00000000-C706-4C26-B5EF-7C099890D222}"/>
            </c:ext>
          </c:extLst>
        </c:ser>
        <c:ser>
          <c:idx val="1"/>
          <c:order val="1"/>
          <c:tx>
            <c:strRef>
              <c:f>'Data Input'!$O$2</c:f>
              <c:strCache>
                <c:ptCount val="1"/>
                <c:pt idx="0">
                  <c:v>2022</c:v>
                </c:pt>
              </c:strCache>
            </c:strRef>
          </c:tx>
          <c:invertIfNegative val="0"/>
          <c:cat>
            <c:strRef>
              <c:f>'Data Input'!$B$7:$B$17</c:f>
              <c:strCache>
                <c:ptCount val="11"/>
                <c:pt idx="0">
                  <c:v> Taxes </c:v>
                </c:pt>
                <c:pt idx="1">
                  <c:v> Licenses &amp; permits </c:v>
                </c:pt>
                <c:pt idx="2">
                  <c:v> from Federal Govt. </c:v>
                </c:pt>
                <c:pt idx="3">
                  <c:v> from State Govt. </c:v>
                </c:pt>
                <c:pt idx="4">
                  <c:v> Charges for services </c:v>
                </c:pt>
                <c:pt idx="5">
                  <c:v> Fines &amp; forfeitures </c:v>
                </c:pt>
                <c:pt idx="6">
                  <c:v> Interest &amp; rent </c:v>
                </c:pt>
                <c:pt idx="7">
                  <c:v> Special assessments </c:v>
                </c:pt>
                <c:pt idx="8">
                  <c:v> Other revenue </c:v>
                </c:pt>
                <c:pt idx="9">
                  <c:v> Net interfund transfers </c:v>
                </c:pt>
                <c:pt idx="10">
                  <c:v> Sale of debt or assets </c:v>
                </c:pt>
              </c:strCache>
            </c:strRef>
          </c:cat>
          <c:val>
            <c:numRef>
              <c:f>'Data Input'!$O$7:$O$17</c:f>
              <c:numCache>
                <c:formatCode>_(* #,##0_);_(* \(#,##0\);_(* "-"_);_(@_)</c:formatCode>
                <c:ptCount val="11"/>
                <c:pt idx="0">
                  <c:v>444.75</c:v>
                </c:pt>
                <c:pt idx="1">
                  <c:v>13.98</c:v>
                </c:pt>
                <c:pt idx="2">
                  <c:v>19.440000000000001</c:v>
                </c:pt>
                <c:pt idx="3">
                  <c:v>126.28</c:v>
                </c:pt>
                <c:pt idx="4">
                  <c:v>184.02</c:v>
                </c:pt>
                <c:pt idx="5">
                  <c:v>19.7</c:v>
                </c:pt>
                <c:pt idx="6">
                  <c:v>12.65</c:v>
                </c:pt>
                <c:pt idx="7">
                  <c:v>0.22</c:v>
                </c:pt>
                <c:pt idx="8">
                  <c:v>41.89</c:v>
                </c:pt>
                <c:pt idx="9">
                  <c:v>0</c:v>
                </c:pt>
                <c:pt idx="10">
                  <c:v>0.17</c:v>
                </c:pt>
              </c:numCache>
            </c:numRef>
          </c:val>
          <c:extLst>
            <c:ext xmlns:c16="http://schemas.microsoft.com/office/drawing/2014/chart" uri="{C3380CC4-5D6E-409C-BE32-E72D297353CC}">
              <c16:uniqueId val="{00000001-C706-4C26-B5EF-7C099890D222}"/>
            </c:ext>
          </c:extLst>
        </c:ser>
        <c:dLbls>
          <c:showLegendKey val="0"/>
          <c:showVal val="0"/>
          <c:showCatName val="0"/>
          <c:showSerName val="0"/>
          <c:showPercent val="0"/>
          <c:showBubbleSize val="0"/>
        </c:dLbls>
        <c:gapWidth val="150"/>
        <c:axId val="472821776"/>
        <c:axId val="1"/>
      </c:barChart>
      <c:catAx>
        <c:axId val="47282177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2821776"/>
        <c:crosses val="autoZero"/>
        <c:crossBetween val="between"/>
      </c:valAx>
    </c:plotArea>
    <c:legend>
      <c:legendPos val="r"/>
      <c:layout>
        <c:manualLayout>
          <c:xMode val="edge"/>
          <c:yMode val="edge"/>
          <c:x val="0.39139873610219322"/>
          <c:y val="0.89333613298337711"/>
          <c:w val="0.22150586326923727"/>
          <c:h val="8.000034995625549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0.16703679734097165"/>
          <c:y val="0.13010425780110821"/>
          <c:w val="0.80505858571331557"/>
          <c:h val="0.75391586468358118"/>
        </c:manualLayout>
      </c:layout>
      <c:barChart>
        <c:barDir val="col"/>
        <c:grouping val="clustered"/>
        <c:varyColors val="0"/>
        <c:ser>
          <c:idx val="0"/>
          <c:order val="0"/>
          <c:tx>
            <c:strRef>
              <c:f>'Data Input'!$B$87</c:f>
              <c:strCache>
                <c:ptCount val="1"/>
                <c:pt idx="0">
                  <c:v> Taxes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Input'!$D$87:$M$87</c:f>
              <c:numCache>
                <c:formatCode>_(* #,##0_);_(* \(#,##0\);_(* "-"_);_(@_)</c:formatCode>
                <c:ptCount val="5"/>
                <c:pt idx="0">
                  <c:v>23242014</c:v>
                </c:pt>
                <c:pt idx="1">
                  <c:v>28647354</c:v>
                </c:pt>
                <c:pt idx="2">
                  <c:v>29676669</c:v>
                </c:pt>
                <c:pt idx="3">
                  <c:v>30948924</c:v>
                </c:pt>
                <c:pt idx="4">
                  <c:v>31569832</c:v>
                </c:pt>
              </c:numCache>
            </c:numRef>
          </c:val>
          <c:extLst>
            <c:ext xmlns:c16="http://schemas.microsoft.com/office/drawing/2014/chart" uri="{C3380CC4-5D6E-409C-BE32-E72D297353CC}">
              <c16:uniqueId val="{00000000-D92E-4697-9AF9-3324DD764CEB}"/>
            </c:ext>
          </c:extLst>
        </c:ser>
        <c:dLbls>
          <c:showLegendKey val="0"/>
          <c:showVal val="0"/>
          <c:showCatName val="0"/>
          <c:showSerName val="0"/>
          <c:showPercent val="0"/>
          <c:showBubbleSize val="0"/>
        </c:dLbls>
        <c:gapWidth val="150"/>
        <c:axId val="472818496"/>
        <c:axId val="1"/>
      </c:barChart>
      <c:catAx>
        <c:axId val="4728184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2818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3A66-40AF-8025-6381857FB908}"/>
              </c:ext>
            </c:extLst>
          </c:dPt>
          <c:dPt>
            <c:idx val="1"/>
            <c:bubble3D val="0"/>
            <c:extLst>
              <c:ext xmlns:c16="http://schemas.microsoft.com/office/drawing/2014/chart" uri="{C3380CC4-5D6E-409C-BE32-E72D297353CC}">
                <c16:uniqueId val="{00000001-3A66-40AF-8025-6381857FB908}"/>
              </c:ext>
            </c:extLst>
          </c:dPt>
          <c:dPt>
            <c:idx val="2"/>
            <c:bubble3D val="0"/>
            <c:extLst>
              <c:ext xmlns:c16="http://schemas.microsoft.com/office/drawing/2014/chart" uri="{C3380CC4-5D6E-409C-BE32-E72D297353CC}">
                <c16:uniqueId val="{00000002-3A66-40AF-8025-6381857FB908}"/>
              </c:ext>
            </c:extLst>
          </c:dPt>
          <c:dPt>
            <c:idx val="3"/>
            <c:bubble3D val="0"/>
            <c:extLst>
              <c:ext xmlns:c16="http://schemas.microsoft.com/office/drawing/2014/chart" uri="{C3380CC4-5D6E-409C-BE32-E72D297353CC}">
                <c16:uniqueId val="{00000003-3A66-40AF-8025-6381857FB908}"/>
              </c:ext>
            </c:extLst>
          </c:dPt>
          <c:dPt>
            <c:idx val="4"/>
            <c:bubble3D val="0"/>
            <c:extLst>
              <c:ext xmlns:c16="http://schemas.microsoft.com/office/drawing/2014/chart" uri="{C3380CC4-5D6E-409C-BE32-E72D297353CC}">
                <c16:uniqueId val="{00000004-3A66-40AF-8025-6381857FB908}"/>
              </c:ext>
            </c:extLst>
          </c:dPt>
          <c:dPt>
            <c:idx val="5"/>
            <c:bubble3D val="0"/>
            <c:extLst>
              <c:ext xmlns:c16="http://schemas.microsoft.com/office/drawing/2014/chart" uri="{C3380CC4-5D6E-409C-BE32-E72D297353CC}">
                <c16:uniqueId val="{00000005-3A66-40AF-8025-6381857FB908}"/>
              </c:ext>
            </c:extLst>
          </c:dPt>
          <c:dPt>
            <c:idx val="6"/>
            <c:bubble3D val="0"/>
            <c:extLst>
              <c:ext xmlns:c16="http://schemas.microsoft.com/office/drawing/2014/chart" uri="{C3380CC4-5D6E-409C-BE32-E72D297353CC}">
                <c16:uniqueId val="{00000006-3A66-40AF-8025-6381857FB908}"/>
              </c:ext>
            </c:extLst>
          </c:dPt>
          <c:dPt>
            <c:idx val="7"/>
            <c:bubble3D val="0"/>
            <c:extLst>
              <c:ext xmlns:c16="http://schemas.microsoft.com/office/drawing/2014/chart" uri="{C3380CC4-5D6E-409C-BE32-E72D297353CC}">
                <c16:uniqueId val="{00000007-3A66-40AF-8025-6381857FB908}"/>
              </c:ext>
            </c:extLst>
          </c:dPt>
          <c:dPt>
            <c:idx val="8"/>
            <c:bubble3D val="0"/>
            <c:extLst>
              <c:ext xmlns:c16="http://schemas.microsoft.com/office/drawing/2014/chart" uri="{C3380CC4-5D6E-409C-BE32-E72D297353CC}">
                <c16:uniqueId val="{00000008-3A66-40AF-8025-6381857FB908}"/>
              </c:ext>
            </c:extLst>
          </c:dPt>
          <c:dPt>
            <c:idx val="9"/>
            <c:bubble3D val="0"/>
            <c:extLst>
              <c:ext xmlns:c16="http://schemas.microsoft.com/office/drawing/2014/chart" uri="{C3380CC4-5D6E-409C-BE32-E72D297353CC}">
                <c16:uniqueId val="{00000009-3A66-40AF-8025-6381857FB908}"/>
              </c:ext>
            </c:extLst>
          </c:dPt>
          <c:cat>
            <c:strRef>
              <c:f>'Data Input'!$B$20:$B$30</c:f>
              <c:strCache>
                <c:ptCount val="11"/>
                <c:pt idx="0">
                  <c:v> General government </c:v>
                </c:pt>
                <c:pt idx="1">
                  <c:v> District Court </c:v>
                </c:pt>
                <c:pt idx="2">
                  <c:v> Police &amp; fire </c:v>
                </c:pt>
                <c:pt idx="3">
                  <c:v> Building Inspection </c:v>
                </c:pt>
                <c:pt idx="4">
                  <c:v> Public works </c:v>
                </c:pt>
                <c:pt idx="5">
                  <c:v> Community &amp; economic development </c:v>
                </c:pt>
                <c:pt idx="6">
                  <c:v> Recreation &amp; culture </c:v>
                </c:pt>
                <c:pt idx="7">
                  <c:v> Capital outlay </c:v>
                </c:pt>
                <c:pt idx="8">
                  <c:v> Debt service </c:v>
                </c:pt>
                <c:pt idx="9">
                  <c:v> Net Interfund transfers </c:v>
                </c:pt>
                <c:pt idx="10">
                  <c:v> Extraordinary/ Special items </c:v>
                </c:pt>
              </c:strCache>
            </c:strRef>
          </c:cat>
          <c:val>
            <c:numRef>
              <c:f>'Data Input'!$M$20:$M$30</c:f>
              <c:numCache>
                <c:formatCode>_(* #,##0_);_(* \(#,##0\);_(* "-"_);_(@_)</c:formatCode>
                <c:ptCount val="11"/>
                <c:pt idx="0">
                  <c:v>8021885</c:v>
                </c:pt>
                <c:pt idx="1">
                  <c:v>2679214</c:v>
                </c:pt>
                <c:pt idx="2">
                  <c:v>34557436</c:v>
                </c:pt>
                <c:pt idx="3">
                  <c:v>1440928</c:v>
                </c:pt>
                <c:pt idx="4">
                  <c:v>127453</c:v>
                </c:pt>
                <c:pt idx="5">
                  <c:v>2110788</c:v>
                </c:pt>
                <c:pt idx="6">
                  <c:v>3864456</c:v>
                </c:pt>
                <c:pt idx="7">
                  <c:v>3825005</c:v>
                </c:pt>
                <c:pt idx="8">
                  <c:v>0</c:v>
                </c:pt>
                <c:pt idx="9">
                  <c:v>0</c:v>
                </c:pt>
                <c:pt idx="10">
                  <c:v>0</c:v>
                </c:pt>
              </c:numCache>
            </c:numRef>
          </c:val>
          <c:extLst>
            <c:ext xmlns:c16="http://schemas.microsoft.com/office/drawing/2014/chart" uri="{C3380CC4-5D6E-409C-BE32-E72D297353CC}">
              <c16:uniqueId val="{0000000A-3A66-40AF-8025-6381857FB90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2470994459025952"/>
          <c:y val="9.7656195037475982E-2"/>
          <c:w val="0.35198226888305628"/>
          <c:h val="0.78515788619206106"/>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Input'!$N$2</c:f>
              <c:strCache>
                <c:ptCount val="1"/>
                <c:pt idx="0">
                  <c:v>2021</c:v>
                </c:pt>
              </c:strCache>
            </c:strRef>
          </c:tx>
          <c:invertIfNegative val="0"/>
          <c:cat>
            <c:strRef>
              <c:f>'Data Input'!$B$20:$B$30</c:f>
              <c:strCache>
                <c:ptCount val="11"/>
                <c:pt idx="0">
                  <c:v> General government </c:v>
                </c:pt>
                <c:pt idx="1">
                  <c:v> District Court </c:v>
                </c:pt>
                <c:pt idx="2">
                  <c:v> Police &amp; fire </c:v>
                </c:pt>
                <c:pt idx="3">
                  <c:v> Building Inspection </c:v>
                </c:pt>
                <c:pt idx="4">
                  <c:v> Public works </c:v>
                </c:pt>
                <c:pt idx="5">
                  <c:v> Community &amp; economic development </c:v>
                </c:pt>
                <c:pt idx="6">
                  <c:v> Recreation &amp; culture </c:v>
                </c:pt>
                <c:pt idx="7">
                  <c:v> Capital outlay </c:v>
                </c:pt>
                <c:pt idx="8">
                  <c:v> Debt service </c:v>
                </c:pt>
                <c:pt idx="9">
                  <c:v> Net Interfund transfers </c:v>
                </c:pt>
                <c:pt idx="10">
                  <c:v> Extraordinary/ Special items </c:v>
                </c:pt>
              </c:strCache>
            </c:strRef>
          </c:cat>
          <c:val>
            <c:numRef>
              <c:f>'Data Input'!$N$20:$N$30</c:f>
              <c:numCache>
                <c:formatCode>_(* #,##0_);_(* \(#,##0\);_(* "-"_);_(@_)</c:formatCode>
                <c:ptCount val="11"/>
                <c:pt idx="0">
                  <c:v>90.51</c:v>
                </c:pt>
                <c:pt idx="1">
                  <c:v>36.020000000000003</c:v>
                </c:pt>
                <c:pt idx="2">
                  <c:v>469.48</c:v>
                </c:pt>
                <c:pt idx="3">
                  <c:v>18.71</c:v>
                </c:pt>
                <c:pt idx="4">
                  <c:v>0.45</c:v>
                </c:pt>
                <c:pt idx="5">
                  <c:v>31.57</c:v>
                </c:pt>
                <c:pt idx="6">
                  <c:v>51.35</c:v>
                </c:pt>
                <c:pt idx="7">
                  <c:v>50.66</c:v>
                </c:pt>
                <c:pt idx="8">
                  <c:v>3.74</c:v>
                </c:pt>
                <c:pt idx="9">
                  <c:v>0</c:v>
                </c:pt>
                <c:pt idx="10">
                  <c:v>0</c:v>
                </c:pt>
              </c:numCache>
            </c:numRef>
          </c:val>
          <c:extLst>
            <c:ext xmlns:c16="http://schemas.microsoft.com/office/drawing/2014/chart" uri="{C3380CC4-5D6E-409C-BE32-E72D297353CC}">
              <c16:uniqueId val="{00000000-FFD0-421C-90BC-870794C53B94}"/>
            </c:ext>
          </c:extLst>
        </c:ser>
        <c:ser>
          <c:idx val="2"/>
          <c:order val="1"/>
          <c:tx>
            <c:strRef>
              <c:f>'Data Input'!$O$2</c:f>
              <c:strCache>
                <c:ptCount val="1"/>
                <c:pt idx="0">
                  <c:v>2022</c:v>
                </c:pt>
              </c:strCache>
            </c:strRef>
          </c:tx>
          <c:invertIfNegative val="0"/>
          <c:cat>
            <c:strRef>
              <c:f>'Data Input'!$B$20:$B$30</c:f>
              <c:strCache>
                <c:ptCount val="11"/>
                <c:pt idx="0">
                  <c:v> General government </c:v>
                </c:pt>
                <c:pt idx="1">
                  <c:v> District Court </c:v>
                </c:pt>
                <c:pt idx="2">
                  <c:v> Police &amp; fire </c:v>
                </c:pt>
                <c:pt idx="3">
                  <c:v> Building Inspection </c:v>
                </c:pt>
                <c:pt idx="4">
                  <c:v> Public works </c:v>
                </c:pt>
                <c:pt idx="5">
                  <c:v> Community &amp; economic development </c:v>
                </c:pt>
                <c:pt idx="6">
                  <c:v> Recreation &amp; culture </c:v>
                </c:pt>
                <c:pt idx="7">
                  <c:v> Capital outlay </c:v>
                </c:pt>
                <c:pt idx="8">
                  <c:v> Debt service </c:v>
                </c:pt>
                <c:pt idx="9">
                  <c:v> Net Interfund transfers </c:v>
                </c:pt>
                <c:pt idx="10">
                  <c:v> Extraordinary/ Special items </c:v>
                </c:pt>
              </c:strCache>
            </c:strRef>
          </c:cat>
          <c:val>
            <c:numRef>
              <c:f>'Data Input'!$O$20:$O$30</c:f>
              <c:numCache>
                <c:formatCode>_(* #,##0_);_(* \(#,##0\);_(* "-"_);_(@_)</c:formatCode>
                <c:ptCount val="11"/>
                <c:pt idx="0">
                  <c:v>113.01</c:v>
                </c:pt>
                <c:pt idx="2">
                  <c:v>486.83</c:v>
                </c:pt>
                <c:pt idx="3">
                  <c:v>20.3</c:v>
                </c:pt>
                <c:pt idx="4">
                  <c:v>1.8</c:v>
                </c:pt>
                <c:pt idx="5">
                  <c:v>29.74</c:v>
                </c:pt>
                <c:pt idx="6">
                  <c:v>54.44</c:v>
                </c:pt>
                <c:pt idx="7">
                  <c:v>53.89</c:v>
                </c:pt>
                <c:pt idx="8">
                  <c:v>0</c:v>
                </c:pt>
                <c:pt idx="9">
                  <c:v>0</c:v>
                </c:pt>
                <c:pt idx="10">
                  <c:v>0</c:v>
                </c:pt>
              </c:numCache>
            </c:numRef>
          </c:val>
          <c:extLst>
            <c:ext xmlns:c16="http://schemas.microsoft.com/office/drawing/2014/chart" uri="{C3380CC4-5D6E-409C-BE32-E72D297353CC}">
              <c16:uniqueId val="{00000001-FFD0-421C-90BC-870794C53B94}"/>
            </c:ext>
          </c:extLst>
        </c:ser>
        <c:dLbls>
          <c:showLegendKey val="0"/>
          <c:showVal val="0"/>
          <c:showCatName val="0"/>
          <c:showSerName val="0"/>
          <c:showPercent val="0"/>
          <c:showBubbleSize val="0"/>
        </c:dLbls>
        <c:gapWidth val="150"/>
        <c:axId val="474021808"/>
        <c:axId val="1"/>
      </c:barChart>
      <c:catAx>
        <c:axId val="4740218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021808"/>
        <c:crosses val="autoZero"/>
        <c:crossBetween val="between"/>
      </c:valAx>
    </c:plotArea>
    <c:legend>
      <c:legendPos val="r"/>
      <c:layout>
        <c:manualLayout>
          <c:xMode val="edge"/>
          <c:yMode val="edge"/>
          <c:x val="0.15563397293784878"/>
          <c:y val="0.92644437601724361"/>
          <c:w val="0.20038936880462757"/>
          <c:h val="6.7039106145251437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0.15417530571235674"/>
          <c:y val="0.10529339426977222"/>
          <c:w val="0.8179200773419304"/>
          <c:h val="0.79738083438870844"/>
        </c:manualLayout>
      </c:layout>
      <c:barChart>
        <c:barDir val="col"/>
        <c:grouping val="clustered"/>
        <c:varyColors val="0"/>
        <c:ser>
          <c:idx val="0"/>
          <c:order val="0"/>
          <c:tx>
            <c:strRef>
              <c:f>'Data Input'!$B$89</c:f>
              <c:strCache>
                <c:ptCount val="1"/>
                <c:pt idx="0">
                  <c:v> General government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Input'!$D$89:$M$89</c:f>
              <c:numCache>
                <c:formatCode>_(* #,##0_);_(* \(#,##0\);_(* "-"_);_(@_)</c:formatCode>
                <c:ptCount val="5"/>
                <c:pt idx="0">
                  <c:v>5822151</c:v>
                </c:pt>
                <c:pt idx="1">
                  <c:v>6344936</c:v>
                </c:pt>
                <c:pt idx="2">
                  <c:v>7041353</c:v>
                </c:pt>
                <c:pt idx="3">
                  <c:v>6593142</c:v>
                </c:pt>
                <c:pt idx="4">
                  <c:v>8021885</c:v>
                </c:pt>
              </c:numCache>
            </c:numRef>
          </c:val>
          <c:extLst>
            <c:ext xmlns:c16="http://schemas.microsoft.com/office/drawing/2014/chart" uri="{C3380CC4-5D6E-409C-BE32-E72D297353CC}">
              <c16:uniqueId val="{00000000-F8EA-4636-A00F-6C80D83EF242}"/>
            </c:ext>
          </c:extLst>
        </c:ser>
        <c:dLbls>
          <c:showLegendKey val="0"/>
          <c:showVal val="0"/>
          <c:showCatName val="0"/>
          <c:showSerName val="0"/>
          <c:showPercent val="0"/>
          <c:showBubbleSize val="0"/>
        </c:dLbls>
        <c:gapWidth val="150"/>
        <c:axId val="474024104"/>
        <c:axId val="1"/>
      </c:barChart>
      <c:catAx>
        <c:axId val="474024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024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40316668068341E-2"/>
          <c:y val="3.9945572804306578E-2"/>
          <c:w val="0.577691658342804"/>
          <c:h val="0.80156170809379312"/>
        </c:manualLayout>
      </c:layout>
      <c:barChart>
        <c:barDir val="col"/>
        <c:grouping val="clustered"/>
        <c:varyColors val="0"/>
        <c:ser>
          <c:idx val="0"/>
          <c:order val="0"/>
          <c:tx>
            <c:strRef>
              <c:f>'Data Input'!$B$18</c:f>
              <c:strCache>
                <c:ptCount val="1"/>
                <c:pt idx="0">
                  <c:v> total revenue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Input'!$D$18:$M$18</c:f>
              <c:numCache>
                <c:formatCode>_(* #,##0_);_(* \(#,##0\);_(* "-"_);_(@_)</c:formatCode>
                <c:ptCount val="5"/>
                <c:pt idx="0">
                  <c:v>52115713</c:v>
                </c:pt>
                <c:pt idx="1">
                  <c:v>58077609</c:v>
                </c:pt>
                <c:pt idx="2">
                  <c:v>57701947</c:v>
                </c:pt>
                <c:pt idx="3">
                  <c:v>58534040</c:v>
                </c:pt>
                <c:pt idx="4">
                  <c:v>61265787</c:v>
                </c:pt>
              </c:numCache>
            </c:numRef>
          </c:val>
          <c:extLst>
            <c:ext xmlns:c16="http://schemas.microsoft.com/office/drawing/2014/chart" uri="{C3380CC4-5D6E-409C-BE32-E72D297353CC}">
              <c16:uniqueId val="{00000000-A56F-4D01-9FF0-3A3223379D7E}"/>
            </c:ext>
          </c:extLst>
        </c:ser>
        <c:ser>
          <c:idx val="1"/>
          <c:order val="1"/>
          <c:tx>
            <c:strRef>
              <c:f>'Data Input'!$B$31</c:f>
              <c:strCache>
                <c:ptCount val="1"/>
                <c:pt idx="0">
                  <c:v> total expenditures </c:v>
                </c:pt>
              </c:strCache>
            </c:strRef>
          </c:tx>
          <c:invertIfNegative val="0"/>
          <c:cat>
            <c:numRef>
              <c:f>'Data Input'!$D$2:$M$2</c:f>
              <c:numCache>
                <c:formatCode>General</c:formatCode>
                <c:ptCount val="5"/>
                <c:pt idx="0">
                  <c:v>2018</c:v>
                </c:pt>
                <c:pt idx="1">
                  <c:v>2019</c:v>
                </c:pt>
                <c:pt idx="2">
                  <c:v>2020</c:v>
                </c:pt>
                <c:pt idx="3">
                  <c:v>2021</c:v>
                </c:pt>
                <c:pt idx="4">
                  <c:v>2022</c:v>
                </c:pt>
              </c:numCache>
            </c:numRef>
          </c:cat>
          <c:val>
            <c:numRef>
              <c:f>'Data Input'!$D$31:$M$31</c:f>
              <c:numCache>
                <c:formatCode>_(* #,##0_);_(* \(#,##0\);_(* "-"_);_(@_)</c:formatCode>
                <c:ptCount val="5"/>
                <c:pt idx="0">
                  <c:v>49652808</c:v>
                </c:pt>
                <c:pt idx="1">
                  <c:v>51204053</c:v>
                </c:pt>
                <c:pt idx="2">
                  <c:v>52599251</c:v>
                </c:pt>
                <c:pt idx="3">
                  <c:v>54813829</c:v>
                </c:pt>
                <c:pt idx="4">
                  <c:v>56627165</c:v>
                </c:pt>
              </c:numCache>
            </c:numRef>
          </c:val>
          <c:extLst>
            <c:ext xmlns:c16="http://schemas.microsoft.com/office/drawing/2014/chart" uri="{C3380CC4-5D6E-409C-BE32-E72D297353CC}">
              <c16:uniqueId val="{00000001-A56F-4D01-9FF0-3A3223379D7E}"/>
            </c:ext>
          </c:extLst>
        </c:ser>
        <c:dLbls>
          <c:showLegendKey val="0"/>
          <c:showVal val="0"/>
          <c:showCatName val="0"/>
          <c:showSerName val="0"/>
          <c:showPercent val="0"/>
          <c:showBubbleSize val="0"/>
        </c:dLbls>
        <c:gapWidth val="150"/>
        <c:axId val="474168672"/>
        <c:axId val="1"/>
      </c:barChart>
      <c:lineChart>
        <c:grouping val="standard"/>
        <c:varyColors val="0"/>
        <c:ser>
          <c:idx val="2"/>
          <c:order val="2"/>
          <c:tx>
            <c:strRef>
              <c:f>'Data Input'!$B$40</c:f>
              <c:strCache>
                <c:ptCount val="1"/>
                <c:pt idx="0">
                  <c:v> Total fund balance </c:v>
                </c:pt>
              </c:strCache>
            </c:strRef>
          </c:tx>
          <c:spPr>
            <a:ln w="44450">
              <a:solidFill>
                <a:schemeClr val="tx1"/>
              </a:solidFill>
            </a:ln>
          </c:spPr>
          <c:marker>
            <c:symbol val="none"/>
          </c:marker>
          <c:cat>
            <c:numRef>
              <c:f>'Data Input'!$D$2:$M$2</c:f>
              <c:numCache>
                <c:formatCode>General</c:formatCode>
                <c:ptCount val="5"/>
                <c:pt idx="0">
                  <c:v>2018</c:v>
                </c:pt>
                <c:pt idx="1">
                  <c:v>2019</c:v>
                </c:pt>
                <c:pt idx="2">
                  <c:v>2020</c:v>
                </c:pt>
                <c:pt idx="3">
                  <c:v>2021</c:v>
                </c:pt>
                <c:pt idx="4">
                  <c:v>2022</c:v>
                </c:pt>
              </c:numCache>
            </c:numRef>
          </c:cat>
          <c:val>
            <c:numRef>
              <c:f>'Data Input'!$D$40:$M$40</c:f>
              <c:numCache>
                <c:formatCode>_(* #,##0_);_(* \(#,##0\);_(* "-"_);_(@_)</c:formatCode>
                <c:ptCount val="5"/>
                <c:pt idx="0">
                  <c:v>26935023</c:v>
                </c:pt>
                <c:pt idx="1">
                  <c:v>33808579</c:v>
                </c:pt>
                <c:pt idx="2">
                  <c:v>38580828</c:v>
                </c:pt>
                <c:pt idx="3">
                  <c:v>42301039</c:v>
                </c:pt>
                <c:pt idx="4">
                  <c:v>46939661</c:v>
                </c:pt>
              </c:numCache>
            </c:numRef>
          </c:val>
          <c:smooth val="0"/>
          <c:extLst>
            <c:ext xmlns:c16="http://schemas.microsoft.com/office/drawing/2014/chart" uri="{C3380CC4-5D6E-409C-BE32-E72D297353CC}">
              <c16:uniqueId val="{00000002-A56F-4D01-9FF0-3A3223379D7E}"/>
            </c:ext>
          </c:extLst>
        </c:ser>
        <c:dLbls>
          <c:showLegendKey val="0"/>
          <c:showVal val="0"/>
          <c:showCatName val="0"/>
          <c:showSerName val="0"/>
          <c:showPercent val="0"/>
          <c:showBubbleSize val="0"/>
        </c:dLbls>
        <c:marker val="1"/>
        <c:smooth val="0"/>
        <c:axId val="474168672"/>
        <c:axId val="1"/>
      </c:lineChart>
      <c:catAx>
        <c:axId val="4741686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168672"/>
        <c:crosses val="autoZero"/>
        <c:crossBetween val="between"/>
      </c:valAx>
    </c:plotArea>
    <c:legend>
      <c:legendPos val="r"/>
      <c:layout>
        <c:manualLayout>
          <c:xMode val="edge"/>
          <c:yMode val="edge"/>
          <c:x val="3.4408660290854202E-2"/>
          <c:y val="0.90270383769596363"/>
          <c:w val="0.92903427844051678"/>
          <c:h val="7.0270554018585507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 Input'!$B$35</c:f>
              <c:strCache>
                <c:ptCount val="1"/>
                <c:pt idx="0">
                  <c:v> Nonspendable </c:v>
                </c:pt>
              </c:strCache>
            </c:strRef>
          </c:tx>
          <c:invertIfNegative val="0"/>
          <c:cat>
            <c:numRef>
              <c:f>'Data Input'!$I$2:$M$2</c:f>
              <c:numCache>
                <c:formatCode>General</c:formatCode>
                <c:ptCount val="5"/>
                <c:pt idx="0">
                  <c:v>2018</c:v>
                </c:pt>
                <c:pt idx="1">
                  <c:v>2019</c:v>
                </c:pt>
                <c:pt idx="2">
                  <c:v>2020</c:v>
                </c:pt>
                <c:pt idx="3">
                  <c:v>2021</c:v>
                </c:pt>
                <c:pt idx="4">
                  <c:v>2022</c:v>
                </c:pt>
              </c:numCache>
            </c:numRef>
          </c:cat>
          <c:val>
            <c:numRef>
              <c:f>'Data Input'!$I$35:$M$35</c:f>
              <c:numCache>
                <c:formatCode>_(* #,##0_);_(* \(#,##0\);_(* "-"_);_(@_)</c:formatCode>
                <c:ptCount val="5"/>
                <c:pt idx="0">
                  <c:v>68599</c:v>
                </c:pt>
                <c:pt idx="1">
                  <c:v>1085264</c:v>
                </c:pt>
                <c:pt idx="2">
                  <c:v>1020831</c:v>
                </c:pt>
                <c:pt idx="3">
                  <c:v>716358</c:v>
                </c:pt>
                <c:pt idx="4">
                  <c:v>721765</c:v>
                </c:pt>
              </c:numCache>
            </c:numRef>
          </c:val>
          <c:extLst>
            <c:ext xmlns:c16="http://schemas.microsoft.com/office/drawing/2014/chart" uri="{C3380CC4-5D6E-409C-BE32-E72D297353CC}">
              <c16:uniqueId val="{00000000-9275-4BF0-BFCF-4695D73C6085}"/>
            </c:ext>
          </c:extLst>
        </c:ser>
        <c:ser>
          <c:idx val="1"/>
          <c:order val="1"/>
          <c:tx>
            <c:strRef>
              <c:f>'Data Input'!$B$36</c:f>
              <c:strCache>
                <c:ptCount val="1"/>
                <c:pt idx="0">
                  <c:v> Restricted </c:v>
                </c:pt>
              </c:strCache>
            </c:strRef>
          </c:tx>
          <c:invertIfNegative val="0"/>
          <c:cat>
            <c:numRef>
              <c:f>'Data Input'!$I$2:$M$2</c:f>
              <c:numCache>
                <c:formatCode>General</c:formatCode>
                <c:ptCount val="5"/>
                <c:pt idx="0">
                  <c:v>2018</c:v>
                </c:pt>
                <c:pt idx="1">
                  <c:v>2019</c:v>
                </c:pt>
                <c:pt idx="2">
                  <c:v>2020</c:v>
                </c:pt>
                <c:pt idx="3">
                  <c:v>2021</c:v>
                </c:pt>
                <c:pt idx="4">
                  <c:v>2022</c:v>
                </c:pt>
              </c:numCache>
            </c:numRef>
          </c:cat>
          <c:val>
            <c:numRef>
              <c:f>'Data Input'!$I$36:$M$36</c:f>
              <c:numCache>
                <c:formatCode>_(* #,##0_);_(* \(#,##0\);_(* "-"_);_(@_)</c:formatCode>
                <c:ptCount val="5"/>
                <c:pt idx="0">
                  <c:v>3901915</c:v>
                </c:pt>
                <c:pt idx="1">
                  <c:v>3816298</c:v>
                </c:pt>
                <c:pt idx="2">
                  <c:v>3603925</c:v>
                </c:pt>
                <c:pt idx="3">
                  <c:v>3097049</c:v>
                </c:pt>
                <c:pt idx="4">
                  <c:v>4001601</c:v>
                </c:pt>
              </c:numCache>
            </c:numRef>
          </c:val>
          <c:extLst>
            <c:ext xmlns:c16="http://schemas.microsoft.com/office/drawing/2014/chart" uri="{C3380CC4-5D6E-409C-BE32-E72D297353CC}">
              <c16:uniqueId val="{00000001-9275-4BF0-BFCF-4695D73C6085}"/>
            </c:ext>
          </c:extLst>
        </c:ser>
        <c:ser>
          <c:idx val="2"/>
          <c:order val="2"/>
          <c:tx>
            <c:strRef>
              <c:f>'Data Input'!$B$37</c:f>
              <c:strCache>
                <c:ptCount val="1"/>
                <c:pt idx="0">
                  <c:v> Committed </c:v>
                </c:pt>
              </c:strCache>
            </c:strRef>
          </c:tx>
          <c:invertIfNegative val="0"/>
          <c:cat>
            <c:numRef>
              <c:f>'Data Input'!$I$2:$M$2</c:f>
              <c:numCache>
                <c:formatCode>General</c:formatCode>
                <c:ptCount val="5"/>
                <c:pt idx="0">
                  <c:v>2018</c:v>
                </c:pt>
                <c:pt idx="1">
                  <c:v>2019</c:v>
                </c:pt>
                <c:pt idx="2">
                  <c:v>2020</c:v>
                </c:pt>
                <c:pt idx="3">
                  <c:v>2021</c:v>
                </c:pt>
                <c:pt idx="4">
                  <c:v>2022</c:v>
                </c:pt>
              </c:numCache>
            </c:numRef>
          </c:cat>
          <c:val>
            <c:numRef>
              <c:f>'Data Input'!$I$37:$M$37</c:f>
              <c:numCache>
                <c:formatCode>_(* #,##0_);_(* \(#,##0\);_(* "-"_);_(@_)</c:formatCode>
                <c:ptCount val="5"/>
                <c:pt idx="0">
                  <c:v>4124436</c:v>
                </c:pt>
                <c:pt idx="1">
                  <c:v>6796119</c:v>
                </c:pt>
                <c:pt idx="2">
                  <c:v>9122136</c:v>
                </c:pt>
                <c:pt idx="3">
                  <c:v>11689819</c:v>
                </c:pt>
                <c:pt idx="4">
                  <c:v>13021916</c:v>
                </c:pt>
              </c:numCache>
            </c:numRef>
          </c:val>
          <c:extLst>
            <c:ext xmlns:c16="http://schemas.microsoft.com/office/drawing/2014/chart" uri="{C3380CC4-5D6E-409C-BE32-E72D297353CC}">
              <c16:uniqueId val="{00000002-9275-4BF0-BFCF-4695D73C6085}"/>
            </c:ext>
          </c:extLst>
        </c:ser>
        <c:ser>
          <c:idx val="3"/>
          <c:order val="3"/>
          <c:tx>
            <c:strRef>
              <c:f>'Data Input'!$B$38</c:f>
              <c:strCache>
                <c:ptCount val="1"/>
                <c:pt idx="0">
                  <c:v> Assigned </c:v>
                </c:pt>
              </c:strCache>
            </c:strRef>
          </c:tx>
          <c:invertIfNegative val="0"/>
          <c:cat>
            <c:numRef>
              <c:f>'Data Input'!$I$2:$M$2</c:f>
              <c:numCache>
                <c:formatCode>General</c:formatCode>
                <c:ptCount val="5"/>
                <c:pt idx="0">
                  <c:v>2018</c:v>
                </c:pt>
                <c:pt idx="1">
                  <c:v>2019</c:v>
                </c:pt>
                <c:pt idx="2">
                  <c:v>2020</c:v>
                </c:pt>
                <c:pt idx="3">
                  <c:v>2021</c:v>
                </c:pt>
                <c:pt idx="4">
                  <c:v>2022</c:v>
                </c:pt>
              </c:numCache>
            </c:numRef>
          </c:cat>
          <c:val>
            <c:numRef>
              <c:f>'Data Input'!$I$38:$M$38</c:f>
              <c:numCache>
                <c:formatCode>_(* #,##0_);_(* \(#,##0\);_(* "-"_);_(@_)</c:formatCode>
                <c:ptCount val="5"/>
                <c:pt idx="0">
                  <c:v>11232977</c:v>
                </c:pt>
                <c:pt idx="1">
                  <c:v>13578378</c:v>
                </c:pt>
                <c:pt idx="2">
                  <c:v>13942511</c:v>
                </c:pt>
                <c:pt idx="3">
                  <c:v>14929924</c:v>
                </c:pt>
                <c:pt idx="4">
                  <c:v>16540653</c:v>
                </c:pt>
              </c:numCache>
            </c:numRef>
          </c:val>
          <c:extLst>
            <c:ext xmlns:c16="http://schemas.microsoft.com/office/drawing/2014/chart" uri="{C3380CC4-5D6E-409C-BE32-E72D297353CC}">
              <c16:uniqueId val="{00000003-9275-4BF0-BFCF-4695D73C6085}"/>
            </c:ext>
          </c:extLst>
        </c:ser>
        <c:ser>
          <c:idx val="4"/>
          <c:order val="4"/>
          <c:tx>
            <c:strRef>
              <c:f>'Data Input'!$B$39</c:f>
              <c:strCache>
                <c:ptCount val="1"/>
                <c:pt idx="0">
                  <c:v> Unassigned </c:v>
                </c:pt>
              </c:strCache>
            </c:strRef>
          </c:tx>
          <c:invertIfNegative val="0"/>
          <c:cat>
            <c:numRef>
              <c:f>'Data Input'!$I$2:$M$2</c:f>
              <c:numCache>
                <c:formatCode>General</c:formatCode>
                <c:ptCount val="5"/>
                <c:pt idx="0">
                  <c:v>2018</c:v>
                </c:pt>
                <c:pt idx="1">
                  <c:v>2019</c:v>
                </c:pt>
                <c:pt idx="2">
                  <c:v>2020</c:v>
                </c:pt>
                <c:pt idx="3">
                  <c:v>2021</c:v>
                </c:pt>
                <c:pt idx="4">
                  <c:v>2022</c:v>
                </c:pt>
              </c:numCache>
            </c:numRef>
          </c:cat>
          <c:val>
            <c:numRef>
              <c:f>'Data Input'!$I$39:$M$39</c:f>
              <c:numCache>
                <c:formatCode>_(* #,##0_);_(* \(#,##0\);_(* "-"_);_(@_)</c:formatCode>
                <c:ptCount val="5"/>
                <c:pt idx="0">
                  <c:v>7607096</c:v>
                </c:pt>
                <c:pt idx="1">
                  <c:v>8532520</c:v>
                </c:pt>
                <c:pt idx="2">
                  <c:v>10891425</c:v>
                </c:pt>
                <c:pt idx="3">
                  <c:v>11867889</c:v>
                </c:pt>
                <c:pt idx="4">
                  <c:v>12653726</c:v>
                </c:pt>
              </c:numCache>
            </c:numRef>
          </c:val>
          <c:extLst>
            <c:ext xmlns:c16="http://schemas.microsoft.com/office/drawing/2014/chart" uri="{C3380CC4-5D6E-409C-BE32-E72D297353CC}">
              <c16:uniqueId val="{00000004-9275-4BF0-BFCF-4695D73C6085}"/>
            </c:ext>
          </c:extLst>
        </c:ser>
        <c:dLbls>
          <c:showLegendKey val="0"/>
          <c:showVal val="0"/>
          <c:showCatName val="0"/>
          <c:showSerName val="0"/>
          <c:showPercent val="0"/>
          <c:showBubbleSize val="0"/>
        </c:dLbls>
        <c:gapWidth val="150"/>
        <c:overlap val="100"/>
        <c:axId val="474167360"/>
        <c:axId val="1"/>
      </c:barChart>
      <c:catAx>
        <c:axId val="4741673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167360"/>
        <c:crosses val="autoZero"/>
        <c:crossBetween val="between"/>
      </c:valAx>
    </c:plotArea>
    <c:legend>
      <c:legendPos val="b"/>
      <c:layout>
        <c:manualLayout>
          <c:xMode val="edge"/>
          <c:yMode val="edge"/>
          <c:x val="7.4766318545846103E-2"/>
          <c:y val="0.89666946631671041"/>
          <c:w val="0.89953269827285576"/>
          <c:h val="8.000034995625549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 Input'!$B$35</c:f>
              <c:strCache>
                <c:ptCount val="1"/>
                <c:pt idx="0">
                  <c:v> Nonspendable </c:v>
                </c:pt>
              </c:strCache>
            </c:strRef>
          </c:tx>
          <c:invertIfNegative val="0"/>
          <c:cat>
            <c:numRef>
              <c:f>'Data Input'!$N$2:$O$2</c:f>
              <c:numCache>
                <c:formatCode>General</c:formatCode>
                <c:ptCount val="2"/>
                <c:pt idx="0">
                  <c:v>2021</c:v>
                </c:pt>
                <c:pt idx="1">
                  <c:v>2022</c:v>
                </c:pt>
              </c:numCache>
            </c:numRef>
          </c:cat>
          <c:val>
            <c:numRef>
              <c:f>'Data Input'!$N$35:$O$35</c:f>
              <c:numCache>
                <c:formatCode>_(* #,##0_);_(* \(#,##0\);_(* "-"_);_(@_)</c:formatCode>
                <c:ptCount val="2"/>
                <c:pt idx="0">
                  <c:v>9.83</c:v>
                </c:pt>
                <c:pt idx="1">
                  <c:v>10.17</c:v>
                </c:pt>
              </c:numCache>
            </c:numRef>
          </c:val>
          <c:extLst>
            <c:ext xmlns:c16="http://schemas.microsoft.com/office/drawing/2014/chart" uri="{C3380CC4-5D6E-409C-BE32-E72D297353CC}">
              <c16:uniqueId val="{00000000-9C45-42E7-B42A-CE6773DFBF8A}"/>
            </c:ext>
          </c:extLst>
        </c:ser>
        <c:ser>
          <c:idx val="1"/>
          <c:order val="1"/>
          <c:tx>
            <c:strRef>
              <c:f>'Data Input'!$B$36</c:f>
              <c:strCache>
                <c:ptCount val="1"/>
                <c:pt idx="0">
                  <c:v> Restricted </c:v>
                </c:pt>
              </c:strCache>
            </c:strRef>
          </c:tx>
          <c:invertIfNegative val="0"/>
          <c:cat>
            <c:numRef>
              <c:f>'Data Input'!$N$2:$O$2</c:f>
              <c:numCache>
                <c:formatCode>General</c:formatCode>
                <c:ptCount val="2"/>
                <c:pt idx="0">
                  <c:v>2021</c:v>
                </c:pt>
                <c:pt idx="1">
                  <c:v>2022</c:v>
                </c:pt>
              </c:numCache>
            </c:numRef>
          </c:cat>
          <c:val>
            <c:numRef>
              <c:f>'Data Input'!$N$36:$O$36</c:f>
              <c:numCache>
                <c:formatCode>_(* #,##0_);_(* \(#,##0\);_(* "-"_);_(@_)</c:formatCode>
                <c:ptCount val="2"/>
                <c:pt idx="0">
                  <c:v>42.52</c:v>
                </c:pt>
                <c:pt idx="1">
                  <c:v>56.37</c:v>
                </c:pt>
              </c:numCache>
            </c:numRef>
          </c:val>
          <c:extLst>
            <c:ext xmlns:c16="http://schemas.microsoft.com/office/drawing/2014/chart" uri="{C3380CC4-5D6E-409C-BE32-E72D297353CC}">
              <c16:uniqueId val="{00000001-9C45-42E7-B42A-CE6773DFBF8A}"/>
            </c:ext>
          </c:extLst>
        </c:ser>
        <c:ser>
          <c:idx val="2"/>
          <c:order val="2"/>
          <c:tx>
            <c:strRef>
              <c:f>'Data Input'!$B$37</c:f>
              <c:strCache>
                <c:ptCount val="1"/>
                <c:pt idx="0">
                  <c:v> Committed </c:v>
                </c:pt>
              </c:strCache>
            </c:strRef>
          </c:tx>
          <c:invertIfNegative val="0"/>
          <c:cat>
            <c:numRef>
              <c:f>'Data Input'!$N$2:$O$2</c:f>
              <c:numCache>
                <c:formatCode>General</c:formatCode>
                <c:ptCount val="2"/>
                <c:pt idx="0">
                  <c:v>2021</c:v>
                </c:pt>
                <c:pt idx="1">
                  <c:v>2022</c:v>
                </c:pt>
              </c:numCache>
            </c:numRef>
          </c:cat>
          <c:val>
            <c:numRef>
              <c:f>'Data Input'!$N$37:$O$37</c:f>
              <c:numCache>
                <c:formatCode>_(* #,##0_);_(* \(#,##0\);_(* "-"_);_(@_)</c:formatCode>
                <c:ptCount val="2"/>
                <c:pt idx="0">
                  <c:v>160.47999999999999</c:v>
                </c:pt>
                <c:pt idx="1">
                  <c:v>183.45</c:v>
                </c:pt>
              </c:numCache>
            </c:numRef>
          </c:val>
          <c:extLst>
            <c:ext xmlns:c16="http://schemas.microsoft.com/office/drawing/2014/chart" uri="{C3380CC4-5D6E-409C-BE32-E72D297353CC}">
              <c16:uniqueId val="{00000002-9C45-42E7-B42A-CE6773DFBF8A}"/>
            </c:ext>
          </c:extLst>
        </c:ser>
        <c:ser>
          <c:idx val="3"/>
          <c:order val="3"/>
          <c:tx>
            <c:strRef>
              <c:f>'Data Input'!$B$38</c:f>
              <c:strCache>
                <c:ptCount val="1"/>
                <c:pt idx="0">
                  <c:v> Assigned </c:v>
                </c:pt>
              </c:strCache>
            </c:strRef>
          </c:tx>
          <c:invertIfNegative val="0"/>
          <c:cat>
            <c:numRef>
              <c:f>'Data Input'!$N$2:$O$2</c:f>
              <c:numCache>
                <c:formatCode>General</c:formatCode>
                <c:ptCount val="2"/>
                <c:pt idx="0">
                  <c:v>2021</c:v>
                </c:pt>
                <c:pt idx="1">
                  <c:v>2022</c:v>
                </c:pt>
              </c:numCache>
            </c:numRef>
          </c:cat>
          <c:val>
            <c:numRef>
              <c:f>'Data Input'!$N$38:$O$38</c:f>
              <c:numCache>
                <c:formatCode>_(* #,##0_);_(* \(#,##0\);_(* "-"_);_(@_)</c:formatCode>
                <c:ptCount val="2"/>
                <c:pt idx="0">
                  <c:v>204.96</c:v>
                </c:pt>
                <c:pt idx="1">
                  <c:v>233.02</c:v>
                </c:pt>
              </c:numCache>
            </c:numRef>
          </c:val>
          <c:extLst>
            <c:ext xmlns:c16="http://schemas.microsoft.com/office/drawing/2014/chart" uri="{C3380CC4-5D6E-409C-BE32-E72D297353CC}">
              <c16:uniqueId val="{00000003-9C45-42E7-B42A-CE6773DFBF8A}"/>
            </c:ext>
          </c:extLst>
        </c:ser>
        <c:ser>
          <c:idx val="4"/>
          <c:order val="4"/>
          <c:tx>
            <c:strRef>
              <c:f>'Data Input'!$B$39</c:f>
              <c:strCache>
                <c:ptCount val="1"/>
                <c:pt idx="0">
                  <c:v> Unassigned </c:v>
                </c:pt>
              </c:strCache>
            </c:strRef>
          </c:tx>
          <c:invertIfNegative val="0"/>
          <c:cat>
            <c:numRef>
              <c:f>'Data Input'!$N$2:$O$2</c:f>
              <c:numCache>
                <c:formatCode>General</c:formatCode>
                <c:ptCount val="2"/>
                <c:pt idx="0">
                  <c:v>2021</c:v>
                </c:pt>
                <c:pt idx="1">
                  <c:v>2022</c:v>
                </c:pt>
              </c:numCache>
            </c:numRef>
          </c:cat>
          <c:val>
            <c:numRef>
              <c:f>'Data Input'!$N$39:$O$39</c:f>
              <c:numCache>
                <c:formatCode>_(* #,##0_);_(* \(#,##0\);_(* "-"_);_(@_)</c:formatCode>
                <c:ptCount val="2"/>
                <c:pt idx="0">
                  <c:v>162.93</c:v>
                </c:pt>
                <c:pt idx="1">
                  <c:v>178.26</c:v>
                </c:pt>
              </c:numCache>
            </c:numRef>
          </c:val>
          <c:extLst>
            <c:ext xmlns:c16="http://schemas.microsoft.com/office/drawing/2014/chart" uri="{C3380CC4-5D6E-409C-BE32-E72D297353CC}">
              <c16:uniqueId val="{00000004-9C45-42E7-B42A-CE6773DFBF8A}"/>
            </c:ext>
          </c:extLst>
        </c:ser>
        <c:dLbls>
          <c:showLegendKey val="0"/>
          <c:showVal val="0"/>
          <c:showCatName val="0"/>
          <c:showSerName val="0"/>
          <c:showPercent val="0"/>
          <c:showBubbleSize val="0"/>
        </c:dLbls>
        <c:gapWidth val="150"/>
        <c:overlap val="100"/>
        <c:axId val="474164080"/>
        <c:axId val="1"/>
      </c:barChart>
      <c:catAx>
        <c:axId val="4741640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4164080"/>
        <c:crosses val="autoZero"/>
        <c:crossBetween val="between"/>
      </c:valAx>
    </c:plotArea>
    <c:legend>
      <c:legendPos val="b"/>
      <c:layout>
        <c:manualLayout>
          <c:xMode val="edge"/>
          <c:yMode val="edge"/>
          <c:x val="9.8924898336205824E-2"/>
          <c:y val="0.89666946631671041"/>
          <c:w val="0.8924749642346208"/>
          <c:h val="8.000034995625549E-2"/>
        </c:manualLayout>
      </c:layou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22" fmlaLink="'Data Input'!$B$86" fmlaRange="'Data Input'!$B$7:$B$18" sel="1" val="0"/>
</file>

<file path=xl/ctrlProps/ctrlProp2.xml><?xml version="1.0" encoding="utf-8"?>
<formControlPr xmlns="http://schemas.microsoft.com/office/spreadsheetml/2009/9/main" objectType="Drop" dropLines="14" dropStyle="combo" dx="22" fmlaLink="'Data Input'!$B$88" fmlaRange="'Data Input'!$B$20:$B$31" sel="1" val="0"/>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106680</xdr:colOff>
      <xdr:row>3</xdr:row>
      <xdr:rowOff>53340</xdr:rowOff>
    </xdr:from>
    <xdr:to>
      <xdr:col>14</xdr:col>
      <xdr:colOff>563908</xdr:colOff>
      <xdr:row>4</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6680" y="457200"/>
          <a:ext cx="7429500"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 </a:t>
          </a:r>
        </a:p>
        <a:p>
          <a:r>
            <a:rPr lang="en-US" sz="1100">
              <a:solidFill>
                <a:schemeClr val="dk1"/>
              </a:solidFill>
              <a:effectLst/>
              <a:latin typeface="+mn-lt"/>
              <a:ea typeface="+mn-ea"/>
              <a:cs typeface="+mn-cs"/>
            </a:rPr>
            <a:t>Input all data on this page. The following pages will then provide the graphs and charts which comprise the Transparency tool (citizen friendly guide). This model requires 5 years of data, but allows up to 10 years. To use more than 5 years, unhide columns D-H.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Before providing to client, "unlink" the</a:t>
          </a:r>
          <a:r>
            <a:rPr lang="en-US" sz="1100" baseline="0">
              <a:solidFill>
                <a:schemeClr val="dk1"/>
              </a:solidFill>
              <a:effectLst/>
              <a:latin typeface="+mn-lt"/>
              <a:ea typeface="+mn-ea"/>
              <a:cs typeface="+mn-cs"/>
            </a:rPr>
            <a:t> Caseware Connectors (Add-ins, Tools, Unlink)</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a:solidFill>
                <a:schemeClr val="dk1"/>
              </a:solidFill>
              <a:effectLst/>
              <a:latin typeface="+mn-lt"/>
              <a:ea typeface="+mn-ea"/>
              <a:cs typeface="+mn-cs"/>
            </a:rPr>
            <a:t>Before publishing to the web site, we recommend "hiding" this tab, and the "F-65 crosswalk" tab, so that the document will be more user-friendly. (To do that, right-click on the tab and select "Hide." </a:t>
          </a:r>
          <a:endParaRPr lang="en-US" sz="1100" baseline="0"/>
        </a:p>
      </xdr:txBody>
    </xdr:sp>
    <xdr:clientData/>
  </xdr:twoCellAnchor>
  <xdr:twoCellAnchor>
    <xdr:from>
      <xdr:col>0</xdr:col>
      <xdr:colOff>0</xdr:colOff>
      <xdr:row>23</xdr:row>
      <xdr:rowOff>0</xdr:rowOff>
    </xdr:from>
    <xdr:to>
      <xdr:col>0</xdr:col>
      <xdr:colOff>526068</xdr:colOff>
      <xdr:row>30</xdr:row>
      <xdr:rowOff>32409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4213860"/>
          <a:ext cx="548640" cy="185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i="1"/>
            <a:t>Please "hide" any rows that are not being used</a:t>
          </a:r>
          <a:r>
            <a:rPr lang="en-US" sz="1100"/>
            <a:t>. </a:t>
          </a:r>
        </a:p>
      </xdr:txBody>
    </xdr:sp>
    <xdr:clientData/>
  </xdr:twoCellAnchor>
  <xdr:twoCellAnchor>
    <xdr:from>
      <xdr:col>0</xdr:col>
      <xdr:colOff>0</xdr:colOff>
      <xdr:row>34</xdr:row>
      <xdr:rowOff>30480</xdr:rowOff>
    </xdr:from>
    <xdr:to>
      <xdr:col>1</xdr:col>
      <xdr:colOff>30480</xdr:colOff>
      <xdr:row>39</xdr:row>
      <xdr:rowOff>162019</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6842760"/>
          <a:ext cx="62484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twoCellAnchor>
    <xdr:from>
      <xdr:col>0</xdr:col>
      <xdr:colOff>0</xdr:colOff>
      <xdr:row>34</xdr:row>
      <xdr:rowOff>30480</xdr:rowOff>
    </xdr:from>
    <xdr:to>
      <xdr:col>1</xdr:col>
      <xdr:colOff>30480</xdr:colOff>
      <xdr:row>39</xdr:row>
      <xdr:rowOff>162019</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0" y="7183755"/>
          <a:ext cx="611505"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771525</xdr:colOff>
      <xdr:row>19</xdr:row>
      <xdr:rowOff>0</xdr:rowOff>
    </xdr:to>
    <xdr:graphicFrame macro="">
      <xdr:nvGraphicFramePr>
        <xdr:cNvPr id="1620" name="Chart 1">
          <a:extLst>
            <a:ext uri="{FF2B5EF4-FFF2-40B4-BE49-F238E27FC236}">
              <a16:creationId xmlns:a16="http://schemas.microsoft.com/office/drawing/2014/main" id="{00000000-0008-0000-0200-000054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4</xdr:col>
      <xdr:colOff>771525</xdr:colOff>
      <xdr:row>35</xdr:row>
      <xdr:rowOff>0</xdr:rowOff>
    </xdr:to>
    <xdr:graphicFrame macro="">
      <xdr:nvGraphicFramePr>
        <xdr:cNvPr id="1621" name="Chart 2">
          <a:extLst>
            <a:ext uri="{FF2B5EF4-FFF2-40B4-BE49-F238E27FC236}">
              <a16:creationId xmlns:a16="http://schemas.microsoft.com/office/drawing/2014/main" id="{00000000-0008-0000-0200-00005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20</xdr:row>
      <xdr:rowOff>0</xdr:rowOff>
    </xdr:from>
    <xdr:to>
      <xdr:col>9</xdr:col>
      <xdr:colOff>1323975</xdr:colOff>
      <xdr:row>35</xdr:row>
      <xdr:rowOff>0</xdr:rowOff>
    </xdr:to>
    <xdr:graphicFrame macro="">
      <xdr:nvGraphicFramePr>
        <xdr:cNvPr id="1622" name="Chart 3">
          <a:extLst>
            <a:ext uri="{FF2B5EF4-FFF2-40B4-BE49-F238E27FC236}">
              <a16:creationId xmlns:a16="http://schemas.microsoft.com/office/drawing/2014/main" id="{00000000-0008-0000-0200-00005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68580</xdr:colOff>
      <xdr:row>35</xdr:row>
      <xdr:rowOff>121920</xdr:rowOff>
    </xdr:from>
    <xdr:to>
      <xdr:col>9</xdr:col>
      <xdr:colOff>1291587</xdr:colOff>
      <xdr:row>38</xdr:row>
      <xdr:rowOff>251424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8580" y="6225540"/>
          <a:ext cx="9616440" cy="853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Commentary: </a:t>
          </a:r>
        </a:p>
      </xdr:txBody>
    </xdr:sp>
    <xdr:clientData/>
  </xdr:twoCellAnchor>
  <mc:AlternateContent xmlns:mc="http://schemas.openxmlformats.org/markup-compatibility/2006">
    <mc:Choice xmlns:a14="http://schemas.microsoft.com/office/drawing/2010/main" Requires="a14">
      <xdr:twoCellAnchor editAs="oneCell">
        <xdr:from>
          <xdr:col>5</xdr:col>
          <xdr:colOff>1181100</xdr:colOff>
          <xdr:row>20</xdr:row>
          <xdr:rowOff>7620</xdr:rowOff>
        </xdr:from>
        <xdr:to>
          <xdr:col>7</xdr:col>
          <xdr:colOff>640080</xdr:colOff>
          <xdr:row>21</xdr:row>
          <xdr:rowOff>83820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28575</xdr:rowOff>
    </xdr:from>
    <xdr:to>
      <xdr:col>4</xdr:col>
      <xdr:colOff>809625</xdr:colOff>
      <xdr:row>20</xdr:row>
      <xdr:rowOff>85725</xdr:rowOff>
    </xdr:to>
    <xdr:graphicFrame macro="">
      <xdr:nvGraphicFramePr>
        <xdr:cNvPr id="2641" name="Chart 1">
          <a:extLst>
            <a:ext uri="{FF2B5EF4-FFF2-40B4-BE49-F238E27FC236}">
              <a16:creationId xmlns:a16="http://schemas.microsoft.com/office/drawing/2014/main" id="{00000000-0008-0000-0300-000051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21</xdr:row>
      <xdr:rowOff>171450</xdr:rowOff>
    </xdr:from>
    <xdr:to>
      <xdr:col>5</xdr:col>
      <xdr:colOff>552450</xdr:colOff>
      <xdr:row>39</xdr:row>
      <xdr:rowOff>152400</xdr:rowOff>
    </xdr:to>
    <xdr:graphicFrame macro="">
      <xdr:nvGraphicFramePr>
        <xdr:cNvPr id="2642" name="Chart 3">
          <a:extLst>
            <a:ext uri="{FF2B5EF4-FFF2-40B4-BE49-F238E27FC236}">
              <a16:creationId xmlns:a16="http://schemas.microsoft.com/office/drawing/2014/main" id="{00000000-0008-0000-0300-000052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571500</xdr:colOff>
      <xdr:row>22</xdr:row>
      <xdr:rowOff>28575</xdr:rowOff>
    </xdr:from>
    <xdr:to>
      <xdr:col>9</xdr:col>
      <xdr:colOff>1285875</xdr:colOff>
      <xdr:row>40</xdr:row>
      <xdr:rowOff>0</xdr:rowOff>
    </xdr:to>
    <xdr:graphicFrame macro="">
      <xdr:nvGraphicFramePr>
        <xdr:cNvPr id="2643" name="Chart 4">
          <a:extLst>
            <a:ext uri="{FF2B5EF4-FFF2-40B4-BE49-F238E27FC236}">
              <a16:creationId xmlns:a16="http://schemas.microsoft.com/office/drawing/2014/main" id="{00000000-0008-0000-0300-000053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68580</xdr:colOff>
      <xdr:row>40</xdr:row>
      <xdr:rowOff>83820</xdr:rowOff>
    </xdr:from>
    <xdr:to>
      <xdr:col>9</xdr:col>
      <xdr:colOff>1303042</xdr:colOff>
      <xdr:row>43</xdr:row>
      <xdr:rowOff>253439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8580" y="6850380"/>
          <a:ext cx="10195560" cy="86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Commentary: </a:t>
          </a:r>
        </a:p>
      </xdr:txBody>
    </xdr:sp>
    <xdr:clientData/>
  </xdr:twoCellAnchor>
  <mc:AlternateContent xmlns:mc="http://schemas.openxmlformats.org/markup-compatibility/2006">
    <mc:Choice xmlns:a14="http://schemas.microsoft.com/office/drawing/2010/main" Requires="a14">
      <xdr:twoCellAnchor editAs="oneCell">
        <xdr:from>
          <xdr:col>5</xdr:col>
          <xdr:colOff>1645920</xdr:colOff>
          <xdr:row>22</xdr:row>
          <xdr:rowOff>38100</xdr:rowOff>
        </xdr:from>
        <xdr:to>
          <xdr:col>9</xdr:col>
          <xdr:colOff>495300</xdr:colOff>
          <xdr:row>23</xdr:row>
          <xdr:rowOff>144780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771525</xdr:colOff>
      <xdr:row>19</xdr:row>
      <xdr:rowOff>0</xdr:rowOff>
    </xdr:to>
    <xdr:graphicFrame macro="">
      <xdr:nvGraphicFramePr>
        <xdr:cNvPr id="5661" name="Chart 1">
          <a:extLst>
            <a:ext uri="{FF2B5EF4-FFF2-40B4-BE49-F238E27FC236}">
              <a16:creationId xmlns:a16="http://schemas.microsoft.com/office/drawing/2014/main" id="{00000000-0008-0000-0400-00001D1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20</xdr:row>
      <xdr:rowOff>0</xdr:rowOff>
    </xdr:from>
    <xdr:to>
      <xdr:col>8</xdr:col>
      <xdr:colOff>485775</xdr:colOff>
      <xdr:row>35</xdr:row>
      <xdr:rowOff>0</xdr:rowOff>
    </xdr:to>
    <xdr:graphicFrame macro="">
      <xdr:nvGraphicFramePr>
        <xdr:cNvPr id="5662" name="Chart 2">
          <a:extLst>
            <a:ext uri="{FF2B5EF4-FFF2-40B4-BE49-F238E27FC236}">
              <a16:creationId xmlns:a16="http://schemas.microsoft.com/office/drawing/2014/main" id="{00000000-0008-0000-0400-00001E1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45720</xdr:colOff>
      <xdr:row>35</xdr:row>
      <xdr:rowOff>78105</xdr:rowOff>
    </xdr:from>
    <xdr:to>
      <xdr:col>9</xdr:col>
      <xdr:colOff>26680</xdr:colOff>
      <xdr:row>38</xdr:row>
      <xdr:rowOff>228539</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45720" y="5974080"/>
          <a:ext cx="8999220" cy="845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Commentary:</a:t>
          </a:r>
        </a:p>
      </xdr:txBody>
    </xdr:sp>
    <xdr:clientData/>
  </xdr:twoCellAnchor>
  <xdr:twoCellAnchor>
    <xdr:from>
      <xdr:col>0</xdr:col>
      <xdr:colOff>28575</xdr:colOff>
      <xdr:row>20</xdr:row>
      <xdr:rowOff>19050</xdr:rowOff>
    </xdr:from>
    <xdr:to>
      <xdr:col>4</xdr:col>
      <xdr:colOff>800100</xdr:colOff>
      <xdr:row>35</xdr:row>
      <xdr:rowOff>19050</xdr:rowOff>
    </xdr:to>
    <xdr:graphicFrame macro="">
      <xdr:nvGraphicFramePr>
        <xdr:cNvPr id="5664" name="Chart 6">
          <a:extLst>
            <a:ext uri="{FF2B5EF4-FFF2-40B4-BE49-F238E27FC236}">
              <a16:creationId xmlns:a16="http://schemas.microsoft.com/office/drawing/2014/main" id="{00000000-0008-0000-0400-0000201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19050</xdr:rowOff>
    </xdr:from>
    <xdr:to>
      <xdr:col>5</xdr:col>
      <xdr:colOff>142875</xdr:colOff>
      <xdr:row>16</xdr:row>
      <xdr:rowOff>171450</xdr:rowOff>
    </xdr:to>
    <xdr:graphicFrame macro="">
      <xdr:nvGraphicFramePr>
        <xdr:cNvPr id="6955" name="Chart 2">
          <a:extLst>
            <a:ext uri="{FF2B5EF4-FFF2-40B4-BE49-F238E27FC236}">
              <a16:creationId xmlns:a16="http://schemas.microsoft.com/office/drawing/2014/main" id="{00000000-0008-0000-0600-00002B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209550</xdr:colOff>
      <xdr:row>2</xdr:row>
      <xdr:rowOff>9525</xdr:rowOff>
    </xdr:from>
    <xdr:to>
      <xdr:col>10</xdr:col>
      <xdr:colOff>323850</xdr:colOff>
      <xdr:row>17</xdr:row>
      <xdr:rowOff>9525</xdr:rowOff>
    </xdr:to>
    <xdr:graphicFrame macro="">
      <xdr:nvGraphicFramePr>
        <xdr:cNvPr id="6956" name="Chart 3">
          <a:extLst>
            <a:ext uri="{FF2B5EF4-FFF2-40B4-BE49-F238E27FC236}">
              <a16:creationId xmlns:a16="http://schemas.microsoft.com/office/drawing/2014/main" id="{00000000-0008-0000-0600-00002C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0</xdr:rowOff>
    </xdr:from>
    <xdr:to>
      <xdr:col>8</xdr:col>
      <xdr:colOff>581025</xdr:colOff>
      <xdr:row>33</xdr:row>
      <xdr:rowOff>0</xdr:rowOff>
    </xdr:to>
    <xdr:graphicFrame macro="">
      <xdr:nvGraphicFramePr>
        <xdr:cNvPr id="6957" name="Chart 5">
          <a:extLst>
            <a:ext uri="{FF2B5EF4-FFF2-40B4-BE49-F238E27FC236}">
              <a16:creationId xmlns:a16="http://schemas.microsoft.com/office/drawing/2014/main" id="{00000000-0008-0000-0600-00002D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66675</xdr:colOff>
      <xdr:row>18</xdr:row>
      <xdr:rowOff>38100</xdr:rowOff>
    </xdr:from>
    <xdr:to>
      <xdr:col>16</xdr:col>
      <xdr:colOff>0</xdr:colOff>
      <xdr:row>33</xdr:row>
      <xdr:rowOff>38100</xdr:rowOff>
    </xdr:to>
    <xdr:graphicFrame macro="">
      <xdr:nvGraphicFramePr>
        <xdr:cNvPr id="6958" name="Chart 6">
          <a:extLst>
            <a:ext uri="{FF2B5EF4-FFF2-40B4-BE49-F238E27FC236}">
              <a16:creationId xmlns:a16="http://schemas.microsoft.com/office/drawing/2014/main" id="{00000000-0008-0000-0600-00002E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xdr:colOff>
      <xdr:row>33</xdr:row>
      <xdr:rowOff>76200</xdr:rowOff>
    </xdr:from>
    <xdr:to>
      <xdr:col>15</xdr:col>
      <xdr:colOff>963945</xdr:colOff>
      <xdr:row>36</xdr:row>
      <xdr:rowOff>266700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30480" y="6111240"/>
          <a:ext cx="1010412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Commentary: </a:t>
          </a:r>
        </a:p>
      </xdr:txBody>
    </xdr:sp>
    <xdr:clientData/>
  </xdr:twoCellAnchor>
  <xdr:twoCellAnchor>
    <xdr:from>
      <xdr:col>10</xdr:col>
      <xdr:colOff>390525</xdr:colOff>
      <xdr:row>2</xdr:row>
      <xdr:rowOff>9525</xdr:rowOff>
    </xdr:from>
    <xdr:to>
      <xdr:col>16</xdr:col>
      <xdr:colOff>0</xdr:colOff>
      <xdr:row>17</xdr:row>
      <xdr:rowOff>0</xdr:rowOff>
    </xdr:to>
    <xdr:graphicFrame macro="">
      <xdr:nvGraphicFramePr>
        <xdr:cNvPr id="6960" name="Chart 7">
          <a:extLst>
            <a:ext uri="{FF2B5EF4-FFF2-40B4-BE49-F238E27FC236}">
              <a16:creationId xmlns:a16="http://schemas.microsoft.com/office/drawing/2014/main" id="{00000000-0008-0000-0600-000030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526068</xdr:colOff>
      <xdr:row>29</xdr:row>
      <xdr:rowOff>32409</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5305425"/>
          <a:ext cx="526068" cy="15564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i="1"/>
            <a:t>Please "hide" any rows that are not being used</a:t>
          </a:r>
          <a:r>
            <a:rPr lang="en-US" sz="1100"/>
            <a:t>. </a:t>
          </a:r>
        </a:p>
      </xdr:txBody>
    </xdr:sp>
    <xdr:clientData/>
  </xdr:twoCellAnchor>
  <xdr:twoCellAnchor>
    <xdr:from>
      <xdr:col>0</xdr:col>
      <xdr:colOff>57150</xdr:colOff>
      <xdr:row>50</xdr:row>
      <xdr:rowOff>38099</xdr:rowOff>
    </xdr:from>
    <xdr:to>
      <xdr:col>12</xdr:col>
      <xdr:colOff>28575</xdr:colOff>
      <xdr:row>62</xdr:row>
      <xdr:rowOff>142874</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57150" y="11734799"/>
          <a:ext cx="5876925"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ASSUMPTIONS USED IN GENERATING</a:t>
          </a:r>
          <a:r>
            <a:rPr lang="en-US" sz="1100" b="1" u="sng" baseline="0"/>
            <a:t> SECOND YEAR PROJECTION</a:t>
          </a:r>
          <a:endParaRPr lang="en-US" sz="1100" b="0" u="none" baseline="0"/>
        </a:p>
        <a:p>
          <a:endParaRPr lang="en-US" sz="1100" b="0" u="none" baseline="0"/>
        </a:p>
        <a:p>
          <a:r>
            <a:rPr lang="en-US" sz="1100" b="1" u="none" baseline="0"/>
            <a:t>FYE 20XX:</a:t>
          </a:r>
        </a:p>
        <a:p>
          <a:endParaRPr lang="en-US" sz="1100" b="1" u="none" baseline="0"/>
        </a:p>
        <a:p>
          <a:endParaRPr lang="en-US" sz="1100" b="1" u="none" baseline="0"/>
        </a:p>
        <a:p>
          <a:endParaRPr lang="en-US" sz="1100" b="1" u="none" baseline="0"/>
        </a:p>
        <a:p>
          <a:endParaRPr lang="en-US" sz="1100" b="1" u="none" baseline="0"/>
        </a:p>
        <a:p>
          <a:endParaRPr lang="en-US" sz="1100" b="1" u="none" baseline="0"/>
        </a:p>
      </xdr:txBody>
    </xdr:sp>
    <xdr:clientData/>
  </xdr:twoCellAnchor>
  <xdr:twoCellAnchor>
    <xdr:from>
      <xdr:col>0</xdr:col>
      <xdr:colOff>106678</xdr:colOff>
      <xdr:row>3</xdr:row>
      <xdr:rowOff>53340</xdr:rowOff>
    </xdr:from>
    <xdr:to>
      <xdr:col>13</xdr:col>
      <xdr:colOff>523875</xdr:colOff>
      <xdr:row>3</xdr:row>
      <xdr:rowOff>2019300</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06678" y="901065"/>
          <a:ext cx="6932297" cy="196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a:t>
          </a:r>
        </a:p>
        <a:p>
          <a:r>
            <a:rPr lang="en-US" sz="1100">
              <a:solidFill>
                <a:schemeClr val="dk1"/>
              </a:solidFill>
              <a:effectLst/>
              <a:latin typeface="+mn-lt"/>
              <a:ea typeface="+mn-ea"/>
              <a:cs typeface="+mn-cs"/>
            </a:rPr>
            <a:t>Input all  BUDGET data on this page.   The State Law does not specify</a:t>
          </a:r>
          <a:r>
            <a:rPr lang="en-US" sz="1100" baseline="0">
              <a:solidFill>
                <a:schemeClr val="dk1"/>
              </a:solidFill>
              <a:effectLst/>
              <a:latin typeface="+mn-lt"/>
              <a:ea typeface="+mn-ea"/>
              <a:cs typeface="+mn-cs"/>
            </a:rPr>
            <a:t> whether it requires a </a:t>
          </a:r>
          <a:r>
            <a:rPr lang="en-US" sz="1100" i="1" baseline="0">
              <a:solidFill>
                <a:schemeClr val="dk1"/>
              </a:solidFill>
              <a:effectLst/>
              <a:latin typeface="+mn-lt"/>
              <a:ea typeface="+mn-ea"/>
              <a:cs typeface="+mn-cs"/>
            </a:rPr>
            <a:t>budget</a:t>
          </a:r>
          <a:r>
            <a:rPr lang="en-US" sz="1100" i="0" baseline="0">
              <a:solidFill>
                <a:schemeClr val="dk1"/>
              </a:solidFill>
              <a:effectLst/>
              <a:latin typeface="+mn-lt"/>
              <a:ea typeface="+mn-ea"/>
              <a:cs typeface="+mn-cs"/>
            </a:rPr>
            <a:t> or a </a:t>
          </a:r>
          <a:r>
            <a:rPr lang="en-US" sz="1100" i="1" baseline="0">
              <a:solidFill>
                <a:schemeClr val="dk1"/>
              </a:solidFill>
              <a:effectLst/>
              <a:latin typeface="+mn-lt"/>
              <a:ea typeface="+mn-ea"/>
              <a:cs typeface="+mn-cs"/>
            </a:rPr>
            <a:t>projection.</a:t>
          </a:r>
          <a:r>
            <a:rPr lang="en-US" sz="1100" i="0" baseline="0">
              <a:solidFill>
                <a:schemeClr val="dk1"/>
              </a:solidFill>
              <a:effectLst/>
              <a:latin typeface="+mn-lt"/>
              <a:ea typeface="+mn-ea"/>
              <a:cs typeface="+mn-cs"/>
            </a:rPr>
            <a:t>  In most cases, communities will likely use their adopted current year budget and for the subsequent year provide a projection (NOTE: the second year is NOT required to have been approved by the Board or Council).</a:t>
          </a:r>
        </a:p>
        <a:p>
          <a:endParaRPr lang="en-US" sz="1100" i="0" baseline="0">
            <a:solidFill>
              <a:schemeClr val="dk1"/>
            </a:solidFill>
            <a:effectLst/>
            <a:latin typeface="+mn-lt"/>
            <a:ea typeface="+mn-ea"/>
            <a:cs typeface="+mn-cs"/>
          </a:endParaRPr>
        </a:p>
        <a:p>
          <a:r>
            <a:rPr lang="en-US" sz="1100" i="0" baseline="0">
              <a:solidFill>
                <a:schemeClr val="dk1"/>
              </a:solidFill>
              <a:effectLst/>
              <a:latin typeface="+mn-lt"/>
              <a:ea typeface="+mn-ea"/>
              <a:cs typeface="+mn-cs"/>
            </a:rPr>
            <a:t>The minimum requirement is to provide budget/projection information for 2 years for the General Fund.  Communities can opt to provide this for additional funds if desired.</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addition, communities should include in the text box below any assumptions made</a:t>
          </a:r>
          <a:r>
            <a:rPr lang="en-US" sz="1100" baseline="0">
              <a:solidFill>
                <a:schemeClr val="dk1"/>
              </a:solidFill>
              <a:effectLst/>
              <a:latin typeface="+mn-lt"/>
              <a:ea typeface="+mn-ea"/>
              <a:cs typeface="+mn-cs"/>
            </a:rPr>
            <a:t> in the provided budget/projection.</a:t>
          </a:r>
          <a:endParaRPr lang="en-US" sz="1100">
            <a:solidFill>
              <a:schemeClr val="dk1"/>
            </a:solidFill>
            <a:effectLst/>
            <a:latin typeface="+mn-lt"/>
            <a:ea typeface="+mn-ea"/>
            <a:cs typeface="+mn-cs"/>
          </a:endParaRPr>
        </a:p>
      </xdr:txBody>
    </xdr:sp>
    <xdr:clientData/>
  </xdr:twoCellAnchor>
  <xdr:twoCellAnchor>
    <xdr:from>
      <xdr:col>0</xdr:col>
      <xdr:colOff>9525</xdr:colOff>
      <xdr:row>6</xdr:row>
      <xdr:rowOff>104775</xdr:rowOff>
    </xdr:from>
    <xdr:to>
      <xdr:col>0</xdr:col>
      <xdr:colOff>535593</xdr:colOff>
      <xdr:row>14</xdr:row>
      <xdr:rowOff>137184</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525" y="3190875"/>
          <a:ext cx="526068" cy="15564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i="1"/>
            <a:t>Please "hide" any rows that are not being used</a:t>
          </a:r>
          <a:r>
            <a:rPr lang="en-US" sz="1100"/>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30480</xdr:rowOff>
    </xdr:from>
    <xdr:to>
      <xdr:col>0</xdr:col>
      <xdr:colOff>30480</xdr:colOff>
      <xdr:row>10</xdr:row>
      <xdr:rowOff>169567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0" y="982980"/>
          <a:ext cx="3048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twoCellAnchor>
    <xdr:from>
      <xdr:col>0</xdr:col>
      <xdr:colOff>0</xdr:colOff>
      <xdr:row>13</xdr:row>
      <xdr:rowOff>30480</xdr:rowOff>
    </xdr:from>
    <xdr:to>
      <xdr:col>0</xdr:col>
      <xdr:colOff>30480</xdr:colOff>
      <xdr:row>18</xdr:row>
      <xdr:rowOff>169567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2506980"/>
          <a:ext cx="3048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twoCellAnchor>
    <xdr:from>
      <xdr:col>0</xdr:col>
      <xdr:colOff>0</xdr:colOff>
      <xdr:row>21</xdr:row>
      <xdr:rowOff>30480</xdr:rowOff>
    </xdr:from>
    <xdr:to>
      <xdr:col>0</xdr:col>
      <xdr:colOff>30480</xdr:colOff>
      <xdr:row>26</xdr:row>
      <xdr:rowOff>169567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0" y="4030980"/>
          <a:ext cx="3048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twoCellAnchor>
    <xdr:from>
      <xdr:col>0</xdr:col>
      <xdr:colOff>0</xdr:colOff>
      <xdr:row>29</xdr:row>
      <xdr:rowOff>30480</xdr:rowOff>
    </xdr:from>
    <xdr:to>
      <xdr:col>0</xdr:col>
      <xdr:colOff>30480</xdr:colOff>
      <xdr:row>34</xdr:row>
      <xdr:rowOff>169567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0" y="5554980"/>
          <a:ext cx="3048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"Hide" unused rows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M33340\P2P\Waterford%20Township\2003\Report\gasb34muniproformarev42403\version%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e"/>
      <sheetName val="Major Fund Test"/>
      <sheetName val="MDA---&gt;"/>
      <sheetName val="MDABS"/>
      <sheetName val="MDIAS"/>
      <sheetName val="GovWide=&gt;"/>
      <sheetName val="GW NA"/>
      <sheetName val="GW Stmt of Activities"/>
      <sheetName val="Fund Stmts--&gt;"/>
      <sheetName val="Fund CBS"/>
      <sheetName val="Fund - Rev.Exp"/>
      <sheetName val="Fund - Rev.Exp Rec"/>
      <sheetName val="SNA - PF"/>
      <sheetName val="RevExp - PF"/>
      <sheetName val="SCF - PF"/>
      <sheetName val="SNA-FF"/>
      <sheetName val="SOCNA-FF"/>
      <sheetName val="SNA-CU"/>
      <sheetName val="SOA-CU"/>
      <sheetName val="Note1"/>
      <sheetName val="Note2"/>
      <sheetName val="Note 3"/>
      <sheetName val="Note3a"/>
      <sheetName val="Note 3b"/>
      <sheetName val="Note 4a"/>
      <sheetName val="Note 4b"/>
      <sheetName val="Note 4c"/>
      <sheetName val="Note 4d"/>
      <sheetName val="Note 5"/>
      <sheetName val="Note 5a"/>
      <sheetName val="Note 6 "/>
      <sheetName val="Note 6a"/>
      <sheetName val="Note 9"/>
      <sheetName val="Note 9a"/>
      <sheetName val="Note 10"/>
      <sheetName val="Note 14"/>
      <sheetName val="Note 8a"/>
      <sheetName val="Note 8b"/>
      <sheetName val="Note 10.1"/>
      <sheetName val="--Additional Info---&gt;"/>
      <sheetName val="GF-Budget"/>
      <sheetName val="RSRSI-SFP"/>
      <sheetName val="RSRSI-SEC"/>
      <sheetName val="RSRCI-bottom"/>
      <sheetName val="Fund Nonmajor CBS"/>
      <sheetName val="Fund Nonmajor-Rev.Exp"/>
      <sheetName val="TAF-CBS"/>
      <sheetName val="PTF-CSRECFB"/>
      <sheetName val="SI"/>
      <sheetName val="Not used"/>
      <sheetName val="DSF-Budget (Act 175-1992)"/>
      <sheetName val="DSF-Budget (Act 175-1990)"/>
      <sheetName val="SR-Budget(Local Rd)"/>
      <sheetName val="SR-Budget (LLBG)"/>
      <sheetName val="SR-Budget (Major Rd)"/>
      <sheetName val="SR-Budget (Cap Imp)"/>
      <sheetName val="SR-Budget (Nutrition)"/>
      <sheetName val="Budget (Debt Svc SAD)"/>
      <sheetName val="SR-Budget (CDBG)"/>
      <sheetName val="DSF-Budget (Bldg Auth)"/>
      <sheetName val="SR-Budget (Revolving SAD)"/>
      <sheetName val="SR-Budget (Police For)"/>
      <sheetName val="SR-Budget (Prks &amp; Rec)"/>
      <sheetName val="SR-Budget (Golf Course)"/>
      <sheetName val="SR-Budget (Pub Safety)"/>
      <sheetName val="DSF-Budget (General)"/>
      <sheetName val="SR-Budget (Deferred SAD)"/>
    </sheetNames>
    <sheetDataSet>
      <sheetData sheetId="0" refreshError="1"/>
      <sheetData sheetId="1" refreshError="1"/>
      <sheetData sheetId="2" refreshError="1"/>
      <sheetData sheetId="3"/>
      <sheetData sheetId="4"/>
      <sheetData sheetId="5" refreshError="1"/>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refreshError="1"/>
      <sheetData sheetId="36"/>
      <sheetData sheetId="37"/>
      <sheetData sheetId="38"/>
      <sheetData sheetId="39" refreshError="1"/>
      <sheetData sheetId="40"/>
      <sheetData sheetId="41"/>
      <sheetData sheetId="42"/>
      <sheetData sheetId="43" refreshError="1"/>
      <sheetData sheetId="44"/>
      <sheetData sheetId="45"/>
      <sheetData sheetId="46"/>
      <sheetData sheetId="47"/>
      <sheetData sheetId="48" refreshError="1"/>
      <sheetData sheetId="49" refreshError="1"/>
      <sheetData sheetId="50" refreshError="1"/>
      <sheetData sheetId="51" refreshError="1"/>
      <sheetData sheetId="52"/>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64"/>
  <sheetViews>
    <sheetView showGridLines="0" topLeftCell="A43" workbookViewId="0">
      <selection activeCell="A58" sqref="A58:A60"/>
    </sheetView>
  </sheetViews>
  <sheetFormatPr defaultColWidth="95.33203125" defaultRowHeight="14.4"/>
  <cols>
    <col min="1" max="1" width="111" customWidth="1"/>
  </cols>
  <sheetData>
    <row r="1" spans="1:1" ht="17.399999999999999">
      <c r="A1" s="39" t="s">
        <v>278</v>
      </c>
    </row>
    <row r="4" spans="1:1" ht="15" customHeight="1">
      <c r="A4" s="137" t="s">
        <v>277</v>
      </c>
    </row>
    <row r="5" spans="1:1">
      <c r="A5" s="137"/>
    </row>
    <row r="6" spans="1:1">
      <c r="A6" s="137"/>
    </row>
    <row r="7" spans="1:1">
      <c r="A7" s="38"/>
    </row>
    <row r="8" spans="1:1">
      <c r="A8" s="37" t="s">
        <v>276</v>
      </c>
    </row>
    <row r="9" spans="1:1">
      <c r="A9" s="37" t="s">
        <v>275</v>
      </c>
    </row>
    <row r="10" spans="1:1">
      <c r="A10" s="37" t="s">
        <v>274</v>
      </c>
    </row>
    <row r="11" spans="1:1">
      <c r="A11" s="37" t="s">
        <v>273</v>
      </c>
    </row>
    <row r="12" spans="1:1">
      <c r="A12" s="37"/>
    </row>
    <row r="13" spans="1:1" ht="14.25" customHeight="1">
      <c r="A13" s="138" t="s">
        <v>272</v>
      </c>
    </row>
    <row r="14" spans="1:1" ht="14.25" customHeight="1">
      <c r="A14" s="138"/>
    </row>
    <row r="15" spans="1:1" ht="14.25" customHeight="1">
      <c r="A15" s="36"/>
    </row>
    <row r="16" spans="1:1" s="33" customFormat="1" ht="15" customHeight="1">
      <c r="A16" s="134" t="s">
        <v>271</v>
      </c>
    </row>
    <row r="17" spans="1:1" s="33" customFormat="1" ht="15" customHeight="1">
      <c r="A17" s="134"/>
    </row>
    <row r="18" spans="1:1" s="33" customFormat="1" ht="15" customHeight="1">
      <c r="A18" s="134"/>
    </row>
    <row r="19" spans="1:1" s="33" customFormat="1" ht="15" customHeight="1">
      <c r="A19" s="32"/>
    </row>
    <row r="20" spans="1:1">
      <c r="A20" s="35" t="s">
        <v>270</v>
      </c>
    </row>
    <row r="21" spans="1:1" ht="10.5" customHeight="1">
      <c r="A21" s="32"/>
    </row>
    <row r="22" spans="1:1" ht="15" customHeight="1">
      <c r="A22" s="134" t="s">
        <v>269</v>
      </c>
    </row>
    <row r="23" spans="1:1" ht="15" customHeight="1">
      <c r="A23" s="134"/>
    </row>
    <row r="24" spans="1:1" ht="10.5" customHeight="1">
      <c r="A24" s="32"/>
    </row>
    <row r="25" spans="1:1" ht="15" customHeight="1">
      <c r="A25" s="134" t="s">
        <v>268</v>
      </c>
    </row>
    <row r="26" spans="1:1">
      <c r="A26" s="134"/>
    </row>
    <row r="27" spans="1:1">
      <c r="A27" s="134"/>
    </row>
    <row r="28" spans="1:1">
      <c r="A28" s="134"/>
    </row>
    <row r="29" spans="1:1">
      <c r="A29" s="32"/>
    </row>
    <row r="30" spans="1:1">
      <c r="A30" s="34" t="s">
        <v>267</v>
      </c>
    </row>
    <row r="31" spans="1:1" ht="10.5" customHeight="1">
      <c r="A31" s="34"/>
    </row>
    <row r="32" spans="1:1" ht="15" customHeight="1">
      <c r="A32" s="134" t="s">
        <v>266</v>
      </c>
    </row>
    <row r="33" spans="1:1" ht="15" customHeight="1">
      <c r="A33" s="134"/>
    </row>
    <row r="34" spans="1:1" ht="10.5" customHeight="1">
      <c r="A34" s="32"/>
    </row>
    <row r="35" spans="1:1" ht="42.75" customHeight="1">
      <c r="A35" s="33" t="s">
        <v>265</v>
      </c>
    </row>
    <row r="36" spans="1:1">
      <c r="A36" s="33"/>
    </row>
    <row r="37" spans="1:1" ht="27.6">
      <c r="A37" s="32" t="s">
        <v>264</v>
      </c>
    </row>
    <row r="38" spans="1:1" ht="10.5" customHeight="1">
      <c r="A38" s="32"/>
    </row>
    <row r="39" spans="1:1" ht="27.6">
      <c r="A39" s="32" t="s">
        <v>263</v>
      </c>
    </row>
    <row r="40" spans="1:1" ht="10.5" customHeight="1">
      <c r="A40" s="32"/>
    </row>
    <row r="41" spans="1:1" ht="15" customHeight="1">
      <c r="A41" s="134" t="s">
        <v>262</v>
      </c>
    </row>
    <row r="42" spans="1:1">
      <c r="A42" s="134"/>
    </row>
    <row r="43" spans="1:1">
      <c r="A43" s="134"/>
    </row>
    <row r="44" spans="1:1">
      <c r="A44" s="134"/>
    </row>
    <row r="45" spans="1:1">
      <c r="A45" s="32"/>
    </row>
    <row r="46" spans="1:1" ht="15" customHeight="1">
      <c r="A46" s="134" t="s">
        <v>261</v>
      </c>
    </row>
    <row r="47" spans="1:1">
      <c r="A47" s="134"/>
    </row>
    <row r="48" spans="1:1">
      <c r="A48" s="134"/>
    </row>
    <row r="49" spans="1:1">
      <c r="A49" s="32"/>
    </row>
    <row r="50" spans="1:1" ht="15" customHeight="1">
      <c r="A50" s="134" t="s">
        <v>260</v>
      </c>
    </row>
    <row r="51" spans="1:1">
      <c r="A51" s="134"/>
    </row>
    <row r="52" spans="1:1">
      <c r="A52" s="134"/>
    </row>
    <row r="53" spans="1:1">
      <c r="A53" s="134"/>
    </row>
    <row r="54" spans="1:1">
      <c r="A54" s="32"/>
    </row>
    <row r="55" spans="1:1">
      <c r="A55" s="134" t="s">
        <v>259</v>
      </c>
    </row>
    <row r="56" spans="1:1">
      <c r="A56" s="134"/>
    </row>
    <row r="57" spans="1:1">
      <c r="A57" s="32"/>
    </row>
    <row r="58" spans="1:1" ht="15" customHeight="1">
      <c r="A58" s="134" t="s">
        <v>258</v>
      </c>
    </row>
    <row r="59" spans="1:1">
      <c r="A59" s="134"/>
    </row>
    <row r="60" spans="1:1">
      <c r="A60" s="134"/>
    </row>
    <row r="62" spans="1:1">
      <c r="A62" s="135" t="s">
        <v>257</v>
      </c>
    </row>
    <row r="63" spans="1:1">
      <c r="A63" s="135"/>
    </row>
    <row r="64" spans="1:1">
      <c r="A64" s="136"/>
    </row>
  </sheetData>
  <sheetProtection sheet="1" scenarios="1" formatCells="0" formatColumns="0" formatRows="0" insertColumns="0" insertRows="0"/>
  <mergeCells count="12">
    <mergeCell ref="A58:A60"/>
    <mergeCell ref="A62:A64"/>
    <mergeCell ref="A4:A6"/>
    <mergeCell ref="A55:A56"/>
    <mergeCell ref="A41:A44"/>
    <mergeCell ref="A46:A48"/>
    <mergeCell ref="A50:A53"/>
    <mergeCell ref="A13:A14"/>
    <mergeCell ref="A16:A18"/>
    <mergeCell ref="A22:A23"/>
    <mergeCell ref="A25:A28"/>
    <mergeCell ref="A32:A33"/>
  </mergeCells>
  <printOptions horizontalCentered="1"/>
  <pageMargins left="0.36" right="0.36" top="0.71" bottom="1.07" header="0.28999999999999998" footer="0.5"/>
  <pageSetup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3"/>
  <sheetViews>
    <sheetView workbookViewId="0">
      <pane xSplit="2" ySplit="1" topLeftCell="C2" activePane="bottomRight" state="frozen"/>
      <selection pane="topRight" activeCell="C1" sqref="C1"/>
      <selection pane="bottomLeft" activeCell="A2" sqref="A2"/>
      <selection pane="bottomRight" activeCell="L7" sqref="L7"/>
    </sheetView>
  </sheetViews>
  <sheetFormatPr defaultRowHeight="14.4"/>
  <cols>
    <col min="2" max="2" width="48.5546875" customWidth="1"/>
    <col min="3" max="3" width="33.33203125" bestFit="1" customWidth="1"/>
    <col min="4" max="8" width="10.33203125" hidden="1" customWidth="1"/>
    <col min="9" max="13" width="10.33203125" customWidth="1"/>
  </cols>
  <sheetData>
    <row r="1" spans="1:13" ht="16.2">
      <c r="A1" s="7" t="s">
        <v>145</v>
      </c>
      <c r="B1" s="7" t="s">
        <v>144</v>
      </c>
      <c r="C1" s="7" t="s">
        <v>171</v>
      </c>
      <c r="D1" s="7">
        <f>+'Data Input'!D2</f>
        <v>2013</v>
      </c>
      <c r="E1" s="7">
        <f>+'Data Input'!E2</f>
        <v>2014</v>
      </c>
      <c r="F1" s="7">
        <f>+'Data Input'!F2</f>
        <v>2015</v>
      </c>
      <c r="G1" s="7">
        <f>+'Data Input'!G2</f>
        <v>2016</v>
      </c>
      <c r="H1" s="7">
        <f>+'Data Input'!H2</f>
        <v>2017</v>
      </c>
      <c r="I1" s="7">
        <f>+'Data Input'!I2</f>
        <v>2018</v>
      </c>
      <c r="J1" s="7">
        <f>+'Data Input'!J2</f>
        <v>2019</v>
      </c>
      <c r="K1" s="7">
        <f>+'Data Input'!K2</f>
        <v>2020</v>
      </c>
      <c r="L1" s="7">
        <f>+'Data Input'!L2</f>
        <v>2021</v>
      </c>
      <c r="M1" s="7">
        <f>+'Data Input'!M2</f>
        <v>2022</v>
      </c>
    </row>
    <row r="2" spans="1:13">
      <c r="B2" s="6" t="s">
        <v>143</v>
      </c>
      <c r="C2" s="6"/>
    </row>
    <row r="3" spans="1:13">
      <c r="B3" t="s">
        <v>142</v>
      </c>
    </row>
    <row r="4" spans="1:13">
      <c r="A4">
        <v>101</v>
      </c>
      <c r="B4" t="s">
        <v>3</v>
      </c>
      <c r="C4" s="12" t="s">
        <v>4</v>
      </c>
    </row>
    <row r="5" spans="1:13">
      <c r="A5">
        <v>102</v>
      </c>
      <c r="B5" t="s">
        <v>141</v>
      </c>
      <c r="C5" s="12" t="s">
        <v>4</v>
      </c>
    </row>
    <row r="6" spans="1:13">
      <c r="A6">
        <v>103</v>
      </c>
      <c r="B6" t="s">
        <v>140</v>
      </c>
      <c r="C6" s="12" t="s">
        <v>4</v>
      </c>
    </row>
    <row r="7" spans="1:13">
      <c r="A7">
        <v>104</v>
      </c>
      <c r="B7" t="s">
        <v>139</v>
      </c>
      <c r="C7" s="12" t="s">
        <v>4</v>
      </c>
    </row>
    <row r="8" spans="1:13">
      <c r="A8">
        <v>105</v>
      </c>
      <c r="B8" t="s">
        <v>138</v>
      </c>
      <c r="C8" s="12" t="s">
        <v>4</v>
      </c>
    </row>
    <row r="9" spans="1:13">
      <c r="A9">
        <v>106</v>
      </c>
      <c r="B9" t="s">
        <v>137</v>
      </c>
      <c r="C9" s="12" t="s">
        <v>4</v>
      </c>
    </row>
    <row r="10" spans="1:13">
      <c r="A10">
        <v>107</v>
      </c>
      <c r="B10" t="s">
        <v>136</v>
      </c>
      <c r="C10" s="12" t="s">
        <v>4</v>
      </c>
    </row>
    <row r="11" spans="1:13">
      <c r="A11">
        <v>108</v>
      </c>
      <c r="B11" t="s">
        <v>135</v>
      </c>
      <c r="C11" s="12" t="s">
        <v>8</v>
      </c>
    </row>
    <row r="12" spans="1:13">
      <c r="A12">
        <v>109</v>
      </c>
      <c r="B12" t="s">
        <v>134</v>
      </c>
      <c r="C12" s="12" t="s">
        <v>8</v>
      </c>
    </row>
    <row r="13" spans="1:13">
      <c r="A13">
        <v>110</v>
      </c>
      <c r="B13" t="s">
        <v>133</v>
      </c>
      <c r="C13" s="12" t="s">
        <v>7</v>
      </c>
    </row>
    <row r="14" spans="1:13">
      <c r="A14">
        <v>111</v>
      </c>
      <c r="B14" t="s">
        <v>132</v>
      </c>
      <c r="C14" s="12" t="s">
        <v>7</v>
      </c>
    </row>
    <row r="15" spans="1:13">
      <c r="A15">
        <v>112</v>
      </c>
      <c r="B15" t="s">
        <v>131</v>
      </c>
      <c r="C15" s="12" t="s">
        <v>7</v>
      </c>
    </row>
    <row r="16" spans="1:13">
      <c r="A16">
        <v>113</v>
      </c>
      <c r="B16" t="s">
        <v>130</v>
      </c>
      <c r="C16" s="12" t="s">
        <v>7</v>
      </c>
    </row>
    <row r="17" spans="1:3">
      <c r="A17">
        <v>114</v>
      </c>
      <c r="B17" t="s">
        <v>129</v>
      </c>
      <c r="C17" s="12" t="s">
        <v>7</v>
      </c>
    </row>
    <row r="18" spans="1:3">
      <c r="A18">
        <v>115</v>
      </c>
      <c r="B18" t="s">
        <v>128</v>
      </c>
      <c r="C18" s="12" t="s">
        <v>7</v>
      </c>
    </row>
    <row r="19" spans="1:3">
      <c r="A19">
        <v>116</v>
      </c>
      <c r="B19" t="s">
        <v>127</v>
      </c>
      <c r="C19" s="12" t="s">
        <v>7</v>
      </c>
    </row>
    <row r="20" spans="1:3">
      <c r="A20">
        <v>117</v>
      </c>
      <c r="B20" t="s">
        <v>126</v>
      </c>
      <c r="C20" s="12" t="s">
        <v>7</v>
      </c>
    </row>
    <row r="21" spans="1:3">
      <c r="A21">
        <v>118</v>
      </c>
      <c r="B21" t="s">
        <v>125</v>
      </c>
      <c r="C21" s="12" t="s">
        <v>7</v>
      </c>
    </row>
    <row r="22" spans="1:3">
      <c r="A22">
        <v>119</v>
      </c>
      <c r="B22" t="s">
        <v>124</v>
      </c>
      <c r="C22" s="12" t="s">
        <v>7</v>
      </c>
    </row>
    <row r="23" spans="1:3">
      <c r="A23">
        <v>120</v>
      </c>
      <c r="B23" t="s">
        <v>123</v>
      </c>
      <c r="C23" s="12" t="s">
        <v>7</v>
      </c>
    </row>
    <row r="24" spans="1:3">
      <c r="A24">
        <v>121</v>
      </c>
      <c r="B24" t="s">
        <v>122</v>
      </c>
      <c r="C24" s="12" t="s">
        <v>7</v>
      </c>
    </row>
    <row r="25" spans="1:3">
      <c r="A25">
        <v>122</v>
      </c>
      <c r="B25" t="s">
        <v>121</v>
      </c>
      <c r="C25" s="12" t="s">
        <v>6</v>
      </c>
    </row>
    <row r="26" spans="1:3">
      <c r="A26">
        <v>123</v>
      </c>
      <c r="B26" t="s">
        <v>120</v>
      </c>
      <c r="C26" s="12" t="s">
        <v>6</v>
      </c>
    </row>
    <row r="27" spans="1:3">
      <c r="A27">
        <v>124</v>
      </c>
      <c r="B27" t="s">
        <v>119</v>
      </c>
      <c r="C27" s="12" t="s">
        <v>6</v>
      </c>
    </row>
    <row r="28" spans="1:3">
      <c r="A28">
        <v>125</v>
      </c>
      <c r="B28" t="s">
        <v>118</v>
      </c>
      <c r="C28" s="12" t="s">
        <v>6</v>
      </c>
    </row>
    <row r="29" spans="1:3">
      <c r="A29">
        <v>126</v>
      </c>
      <c r="B29" t="s">
        <v>117</v>
      </c>
      <c r="C29" s="12" t="s">
        <v>6</v>
      </c>
    </row>
    <row r="30" spans="1:3">
      <c r="A30">
        <v>127</v>
      </c>
      <c r="B30" t="s">
        <v>116</v>
      </c>
      <c r="C30" s="12" t="s">
        <v>6</v>
      </c>
    </row>
    <row r="31" spans="1:3">
      <c r="A31">
        <v>128</v>
      </c>
      <c r="B31" t="s">
        <v>115</v>
      </c>
      <c r="C31" s="12" t="s">
        <v>6</v>
      </c>
    </row>
    <row r="32" spans="1:3">
      <c r="A32">
        <v>129</v>
      </c>
      <c r="B32" t="s">
        <v>114</v>
      </c>
      <c r="C32" s="12" t="s">
        <v>6</v>
      </c>
    </row>
    <row r="33" spans="1:3">
      <c r="A33">
        <v>130</v>
      </c>
      <c r="B33" t="s">
        <v>113</v>
      </c>
      <c r="C33" s="12" t="s">
        <v>6</v>
      </c>
    </row>
    <row r="34" spans="1:3">
      <c r="A34">
        <v>131</v>
      </c>
      <c r="B34" t="s">
        <v>112</v>
      </c>
      <c r="C34" s="12" t="s">
        <v>6</v>
      </c>
    </row>
    <row r="35" spans="1:3">
      <c r="A35">
        <v>132</v>
      </c>
      <c r="B35" t="s">
        <v>111</v>
      </c>
      <c r="C35" s="12" t="s">
        <v>6</v>
      </c>
    </row>
    <row r="36" spans="1:3">
      <c r="A36">
        <v>133</v>
      </c>
      <c r="B36" t="s">
        <v>110</v>
      </c>
      <c r="C36" s="12" t="s">
        <v>6</v>
      </c>
    </row>
    <row r="37" spans="1:3">
      <c r="A37">
        <v>134</v>
      </c>
      <c r="B37" t="s">
        <v>109</v>
      </c>
      <c r="C37" s="12" t="s">
        <v>6</v>
      </c>
    </row>
    <row r="38" spans="1:3">
      <c r="A38">
        <v>135</v>
      </c>
      <c r="B38" t="s">
        <v>108</v>
      </c>
      <c r="C38" s="12" t="s">
        <v>6</v>
      </c>
    </row>
    <row r="39" spans="1:3">
      <c r="A39">
        <v>136</v>
      </c>
      <c r="B39" t="s">
        <v>107</v>
      </c>
      <c r="C39" s="12" t="s">
        <v>6</v>
      </c>
    </row>
    <row r="40" spans="1:3">
      <c r="A40">
        <v>137</v>
      </c>
      <c r="B40" t="s">
        <v>106</v>
      </c>
      <c r="C40" s="12" t="s">
        <v>6</v>
      </c>
    </row>
    <row r="41" spans="1:3">
      <c r="A41">
        <v>138</v>
      </c>
      <c r="B41" t="s">
        <v>105</v>
      </c>
      <c r="C41" s="12" t="s">
        <v>10</v>
      </c>
    </row>
    <row r="42" spans="1:3">
      <c r="A42">
        <v>139</v>
      </c>
      <c r="B42" t="s">
        <v>104</v>
      </c>
      <c r="C42" s="12" t="s">
        <v>10</v>
      </c>
    </row>
    <row r="43" spans="1:3">
      <c r="A43">
        <v>140</v>
      </c>
      <c r="B43" t="s">
        <v>103</v>
      </c>
      <c r="C43" s="12" t="s">
        <v>10</v>
      </c>
    </row>
    <row r="44" spans="1:3">
      <c r="A44">
        <v>141</v>
      </c>
      <c r="B44" t="s">
        <v>102</v>
      </c>
      <c r="C44" s="12" t="s">
        <v>10</v>
      </c>
    </row>
    <row r="45" spans="1:3">
      <c r="A45">
        <v>142</v>
      </c>
      <c r="B45" t="s">
        <v>101</v>
      </c>
      <c r="C45" s="12" t="s">
        <v>10</v>
      </c>
    </row>
    <row r="46" spans="1:3">
      <c r="A46">
        <v>143</v>
      </c>
      <c r="B46" t="s">
        <v>100</v>
      </c>
      <c r="C46" s="12" t="s">
        <v>10</v>
      </c>
    </row>
    <row r="47" spans="1:3">
      <c r="A47">
        <v>144</v>
      </c>
      <c r="B47" t="s">
        <v>99</v>
      </c>
      <c r="C47" s="12" t="s">
        <v>10</v>
      </c>
    </row>
    <row r="48" spans="1:3">
      <c r="A48">
        <v>145</v>
      </c>
      <c r="B48" t="s">
        <v>98</v>
      </c>
      <c r="C48" s="12" t="s">
        <v>10</v>
      </c>
    </row>
    <row r="49" spans="1:3">
      <c r="A49">
        <v>146</v>
      </c>
      <c r="B49" t="s">
        <v>97</v>
      </c>
      <c r="C49" s="12" t="s">
        <v>10</v>
      </c>
    </row>
    <row r="50" spans="1:3">
      <c r="A50">
        <v>147</v>
      </c>
      <c r="B50" t="s">
        <v>96</v>
      </c>
      <c r="C50" s="12" t="s">
        <v>10</v>
      </c>
    </row>
    <row r="51" spans="1:3">
      <c r="A51">
        <v>148</v>
      </c>
      <c r="B51" t="s">
        <v>95</v>
      </c>
      <c r="C51" s="12" t="s">
        <v>10</v>
      </c>
    </row>
    <row r="52" spans="1:3">
      <c r="A52">
        <v>149</v>
      </c>
      <c r="B52" t="s">
        <v>94</v>
      </c>
      <c r="C52" s="12" t="s">
        <v>8</v>
      </c>
    </row>
    <row r="53" spans="1:3">
      <c r="A53">
        <v>150</v>
      </c>
      <c r="B53" t="s">
        <v>93</v>
      </c>
      <c r="C53" s="12" t="s">
        <v>8</v>
      </c>
    </row>
    <row r="54" spans="1:3">
      <c r="A54">
        <v>151</v>
      </c>
      <c r="B54" t="s">
        <v>92</v>
      </c>
      <c r="C54" s="12" t="s">
        <v>5</v>
      </c>
    </row>
    <row r="55" spans="1:3">
      <c r="A55">
        <v>152</v>
      </c>
      <c r="B55" t="s">
        <v>91</v>
      </c>
      <c r="C55" s="12" t="s">
        <v>5</v>
      </c>
    </row>
    <row r="56" spans="1:3">
      <c r="A56">
        <v>153</v>
      </c>
      <c r="B56" t="s">
        <v>90</v>
      </c>
      <c r="C56" s="12" t="s">
        <v>5</v>
      </c>
    </row>
    <row r="57" spans="1:3">
      <c r="A57">
        <v>154</v>
      </c>
      <c r="B57" t="s">
        <v>89</v>
      </c>
      <c r="C57" s="12" t="s">
        <v>5</v>
      </c>
    </row>
    <row r="58" spans="1:3">
      <c r="A58">
        <v>155</v>
      </c>
      <c r="B58" t="s">
        <v>88</v>
      </c>
      <c r="C58" s="12" t="s">
        <v>5</v>
      </c>
    </row>
    <row r="59" spans="1:3">
      <c r="A59">
        <v>156</v>
      </c>
      <c r="B59" t="s">
        <v>87</v>
      </c>
      <c r="C59" s="12" t="s">
        <v>5</v>
      </c>
    </row>
    <row r="60" spans="1:3">
      <c r="A60">
        <v>157</v>
      </c>
      <c r="B60" t="s">
        <v>86</v>
      </c>
      <c r="C60" s="12" t="s">
        <v>5</v>
      </c>
    </row>
    <row r="61" spans="1:3">
      <c r="A61">
        <v>158</v>
      </c>
      <c r="B61" t="s">
        <v>85</v>
      </c>
      <c r="C61" s="12" t="s">
        <v>5</v>
      </c>
    </row>
    <row r="62" spans="1:3">
      <c r="A62">
        <v>159</v>
      </c>
      <c r="B62" t="s">
        <v>84</v>
      </c>
      <c r="C62" s="12" t="s">
        <v>5</v>
      </c>
    </row>
    <row r="63" spans="1:3">
      <c r="A63">
        <v>160</v>
      </c>
      <c r="B63" t="s">
        <v>83</v>
      </c>
      <c r="C63" s="12" t="s">
        <v>5</v>
      </c>
    </row>
    <row r="64" spans="1:3">
      <c r="A64">
        <v>161</v>
      </c>
      <c r="B64" t="s">
        <v>82</v>
      </c>
      <c r="C64" s="12" t="s">
        <v>8</v>
      </c>
    </row>
    <row r="65" spans="1:3">
      <c r="A65">
        <v>162</v>
      </c>
      <c r="B65" t="s">
        <v>81</v>
      </c>
      <c r="C65" s="12" t="s">
        <v>9</v>
      </c>
    </row>
    <row r="66" spans="1:3">
      <c r="A66">
        <v>163</v>
      </c>
      <c r="B66" t="s">
        <v>80</v>
      </c>
      <c r="C66" s="12" t="s">
        <v>9</v>
      </c>
    </row>
    <row r="67" spans="1:3">
      <c r="A67">
        <v>164</v>
      </c>
      <c r="B67" t="s">
        <v>79</v>
      </c>
      <c r="C67" s="12" t="s">
        <v>10</v>
      </c>
    </row>
    <row r="68" spans="1:3">
      <c r="A68">
        <v>165</v>
      </c>
      <c r="B68" t="s">
        <v>78</v>
      </c>
      <c r="C68" s="12" t="s">
        <v>10</v>
      </c>
    </row>
    <row r="69" spans="1:3">
      <c r="A69">
        <v>166</v>
      </c>
      <c r="B69" t="s">
        <v>77</v>
      </c>
      <c r="C69" s="12" t="s">
        <v>10</v>
      </c>
    </row>
    <row r="70" spans="1:3">
      <c r="A70">
        <v>167</v>
      </c>
      <c r="B70" t="s">
        <v>76</v>
      </c>
      <c r="C70" s="12" t="s">
        <v>10</v>
      </c>
    </row>
    <row r="71" spans="1:3">
      <c r="A71">
        <v>168</v>
      </c>
      <c r="B71" t="s">
        <v>75</v>
      </c>
      <c r="C71" s="12" t="s">
        <v>5</v>
      </c>
    </row>
    <row r="72" spans="1:3">
      <c r="A72">
        <v>169</v>
      </c>
      <c r="B72" t="s">
        <v>74</v>
      </c>
      <c r="C72" s="12" t="s">
        <v>10</v>
      </c>
    </row>
    <row r="73" spans="1:3">
      <c r="A73">
        <v>170</v>
      </c>
      <c r="B73" t="s">
        <v>73</v>
      </c>
      <c r="C73" s="12" t="s">
        <v>10</v>
      </c>
    </row>
    <row r="74" spans="1:3">
      <c r="A74">
        <v>171</v>
      </c>
      <c r="B74" t="s">
        <v>29</v>
      </c>
      <c r="C74" s="12" t="s">
        <v>10</v>
      </c>
    </row>
    <row r="75" spans="1:3">
      <c r="A75">
        <v>172</v>
      </c>
      <c r="B75" t="s">
        <v>72</v>
      </c>
      <c r="C75" s="12" t="s">
        <v>10</v>
      </c>
    </row>
    <row r="76" spans="1:3">
      <c r="A76">
        <v>173</v>
      </c>
      <c r="B76" s="3" t="s">
        <v>71</v>
      </c>
      <c r="C76" s="3"/>
    </row>
    <row r="77" spans="1:3">
      <c r="B77" t="s">
        <v>70</v>
      </c>
    </row>
    <row r="78" spans="1:3">
      <c r="A78">
        <v>201</v>
      </c>
      <c r="B78" t="s">
        <v>69</v>
      </c>
      <c r="C78" s="12" t="s">
        <v>27</v>
      </c>
    </row>
    <row r="79" spans="1:3">
      <c r="A79">
        <v>203</v>
      </c>
      <c r="B79" t="s">
        <v>68</v>
      </c>
      <c r="C79" s="12" t="s">
        <v>27</v>
      </c>
    </row>
    <row r="80" spans="1:3">
      <c r="A80">
        <v>204</v>
      </c>
      <c r="B80" t="s">
        <v>67</v>
      </c>
      <c r="C80" s="12" t="s">
        <v>27</v>
      </c>
    </row>
    <row r="81" spans="1:3">
      <c r="A81">
        <v>205</v>
      </c>
      <c r="B81" t="s">
        <v>66</v>
      </c>
      <c r="C81" s="12" t="s">
        <v>27</v>
      </c>
    </row>
    <row r="82" spans="1:3">
      <c r="A82">
        <v>206</v>
      </c>
      <c r="B82" t="s">
        <v>65</v>
      </c>
      <c r="C82" s="12" t="s">
        <v>27</v>
      </c>
    </row>
    <row r="83" spans="1:3">
      <c r="A83">
        <v>207</v>
      </c>
      <c r="B83" t="s">
        <v>64</v>
      </c>
      <c r="C83" s="12" t="s">
        <v>27</v>
      </c>
    </row>
    <row r="84" spans="1:3">
      <c r="A84">
        <v>208</v>
      </c>
      <c r="B84" t="s">
        <v>63</v>
      </c>
      <c r="C84" s="12" t="s">
        <v>27</v>
      </c>
    </row>
    <row r="85" spans="1:3">
      <c r="A85">
        <v>209</v>
      </c>
      <c r="B85" t="s">
        <v>62</v>
      </c>
      <c r="C85" s="12" t="s">
        <v>27</v>
      </c>
    </row>
    <row r="86" spans="1:3">
      <c r="A86">
        <v>210</v>
      </c>
      <c r="B86" t="s">
        <v>61</v>
      </c>
      <c r="C86" s="12" t="s">
        <v>27</v>
      </c>
    </row>
    <row r="87" spans="1:3">
      <c r="A87">
        <v>202</v>
      </c>
      <c r="B87" t="s">
        <v>60</v>
      </c>
      <c r="C87" s="12" t="s">
        <v>27</v>
      </c>
    </row>
    <row r="88" spans="1:3">
      <c r="A88">
        <v>211</v>
      </c>
      <c r="B88" t="s">
        <v>59</v>
      </c>
      <c r="C88" s="12" t="s">
        <v>12</v>
      </c>
    </row>
    <row r="89" spans="1:3">
      <c r="A89">
        <v>212</v>
      </c>
      <c r="B89" t="s">
        <v>58</v>
      </c>
      <c r="C89" s="12" t="s">
        <v>12</v>
      </c>
    </row>
    <row r="90" spans="1:3">
      <c r="A90">
        <v>213</v>
      </c>
      <c r="B90" t="s">
        <v>57</v>
      </c>
      <c r="C90" s="12" t="s">
        <v>12</v>
      </c>
    </row>
    <row r="91" spans="1:3">
      <c r="A91">
        <v>214</v>
      </c>
      <c r="B91" t="s">
        <v>56</v>
      </c>
      <c r="C91" s="12" t="s">
        <v>12</v>
      </c>
    </row>
    <row r="92" spans="1:3">
      <c r="A92">
        <v>215</v>
      </c>
      <c r="B92" t="s">
        <v>55</v>
      </c>
      <c r="C92" s="12" t="s">
        <v>12</v>
      </c>
    </row>
    <row r="93" spans="1:3">
      <c r="A93">
        <v>216</v>
      </c>
      <c r="B93" t="s">
        <v>54</v>
      </c>
      <c r="C93" s="12" t="s">
        <v>13</v>
      </c>
    </row>
    <row r="94" spans="1:3">
      <c r="A94">
        <v>217</v>
      </c>
      <c r="B94" t="s">
        <v>13</v>
      </c>
      <c r="C94" s="12" t="s">
        <v>13</v>
      </c>
    </row>
    <row r="95" spans="1:3">
      <c r="A95">
        <v>218</v>
      </c>
      <c r="B95" t="s">
        <v>195</v>
      </c>
      <c r="C95" s="12" t="s">
        <v>20</v>
      </c>
    </row>
    <row r="96" spans="1:3">
      <c r="A96">
        <v>219</v>
      </c>
      <c r="B96" t="s">
        <v>14</v>
      </c>
      <c r="C96" s="12" t="s">
        <v>16</v>
      </c>
    </row>
    <row r="97" spans="1:3">
      <c r="A97">
        <v>220</v>
      </c>
      <c r="B97" t="s">
        <v>53</v>
      </c>
      <c r="C97" s="12" t="s">
        <v>20</v>
      </c>
    </row>
    <row r="98" spans="1:3">
      <c r="A98">
        <v>221</v>
      </c>
      <c r="B98" t="s">
        <v>50</v>
      </c>
      <c r="C98" s="12" t="s">
        <v>20</v>
      </c>
    </row>
    <row r="99" spans="1:3">
      <c r="A99">
        <v>222</v>
      </c>
      <c r="B99" t="s">
        <v>52</v>
      </c>
      <c r="C99" s="12" t="s">
        <v>20</v>
      </c>
    </row>
    <row r="100" spans="1:3">
      <c r="A100">
        <v>223</v>
      </c>
      <c r="B100" t="s">
        <v>51</v>
      </c>
      <c r="C100" s="12" t="s">
        <v>20</v>
      </c>
    </row>
    <row r="101" spans="1:3">
      <c r="A101">
        <v>224</v>
      </c>
      <c r="B101" t="s">
        <v>15</v>
      </c>
      <c r="C101" s="12" t="s">
        <v>20</v>
      </c>
    </row>
    <row r="102" spans="1:3">
      <c r="A102">
        <v>225</v>
      </c>
      <c r="B102" t="s">
        <v>50</v>
      </c>
      <c r="C102" s="12" t="s">
        <v>20</v>
      </c>
    </row>
    <row r="103" spans="1:3">
      <c r="A103">
        <v>226</v>
      </c>
      <c r="B103" t="s">
        <v>20</v>
      </c>
      <c r="C103" s="12" t="s">
        <v>20</v>
      </c>
    </row>
    <row r="104" spans="1:3">
      <c r="A104">
        <v>227</v>
      </c>
      <c r="B104" t="s">
        <v>49</v>
      </c>
      <c r="C104" s="12" t="s">
        <v>17</v>
      </c>
    </row>
    <row r="105" spans="1:3">
      <c r="A105">
        <v>228</v>
      </c>
      <c r="B105" t="s">
        <v>48</v>
      </c>
      <c r="C105" s="12" t="s">
        <v>17</v>
      </c>
    </row>
    <row r="106" spans="1:3">
      <c r="A106">
        <v>229</v>
      </c>
      <c r="B106" t="s">
        <v>47</v>
      </c>
      <c r="C106" s="12" t="s">
        <v>17</v>
      </c>
    </row>
    <row r="107" spans="1:3">
      <c r="A107">
        <v>230</v>
      </c>
      <c r="B107" t="s">
        <v>46</v>
      </c>
      <c r="C107" s="12" t="s">
        <v>17</v>
      </c>
    </row>
    <row r="108" spans="1:3">
      <c r="A108">
        <v>231</v>
      </c>
      <c r="B108" t="s">
        <v>45</v>
      </c>
      <c r="C108" s="12" t="s">
        <v>17</v>
      </c>
    </row>
    <row r="109" spans="1:3">
      <c r="A109">
        <v>232</v>
      </c>
      <c r="B109" t="s">
        <v>44</v>
      </c>
      <c r="C109" s="12" t="s">
        <v>17</v>
      </c>
    </row>
    <row r="110" spans="1:3">
      <c r="A110">
        <v>233</v>
      </c>
      <c r="B110" t="s">
        <v>43</v>
      </c>
      <c r="C110" s="12" t="s">
        <v>17</v>
      </c>
    </row>
    <row r="111" spans="1:3">
      <c r="A111">
        <v>234</v>
      </c>
      <c r="B111" t="s">
        <v>42</v>
      </c>
      <c r="C111" s="12" t="s">
        <v>17</v>
      </c>
    </row>
    <row r="112" spans="1:3">
      <c r="A112">
        <v>235</v>
      </c>
      <c r="B112" t="s">
        <v>41</v>
      </c>
      <c r="C112" s="12" t="s">
        <v>17</v>
      </c>
    </row>
    <row r="113" spans="1:3">
      <c r="A113">
        <v>236</v>
      </c>
      <c r="B113" t="s">
        <v>40</v>
      </c>
      <c r="C113" s="12" t="s">
        <v>17</v>
      </c>
    </row>
    <row r="114" spans="1:3">
      <c r="A114">
        <v>237</v>
      </c>
      <c r="B114" t="s">
        <v>39</v>
      </c>
      <c r="C114" s="12" t="s">
        <v>17</v>
      </c>
    </row>
    <row r="115" spans="1:3">
      <c r="A115">
        <v>238</v>
      </c>
      <c r="B115" t="s">
        <v>38</v>
      </c>
      <c r="C115" s="12" t="s">
        <v>18</v>
      </c>
    </row>
    <row r="116" spans="1:3">
      <c r="A116">
        <v>239</v>
      </c>
      <c r="B116" t="s">
        <v>37</v>
      </c>
      <c r="C116" s="12" t="s">
        <v>18</v>
      </c>
    </row>
    <row r="117" spans="1:3">
      <c r="A117">
        <v>240</v>
      </c>
      <c r="B117" t="s">
        <v>36</v>
      </c>
      <c r="C117" s="12" t="s">
        <v>18</v>
      </c>
    </row>
    <row r="118" spans="1:3">
      <c r="A118">
        <v>241</v>
      </c>
      <c r="B118" t="s">
        <v>35</v>
      </c>
      <c r="C118" s="12" t="s">
        <v>18</v>
      </c>
    </row>
    <row r="119" spans="1:3">
      <c r="A119">
        <v>242</v>
      </c>
      <c r="B119" t="s">
        <v>19</v>
      </c>
      <c r="C119" s="12" t="s">
        <v>32</v>
      </c>
    </row>
    <row r="120" spans="1:3">
      <c r="A120">
        <v>243</v>
      </c>
      <c r="B120" t="s">
        <v>34</v>
      </c>
      <c r="C120" s="12" t="s">
        <v>32</v>
      </c>
    </row>
    <row r="121" spans="1:3">
      <c r="A121">
        <v>244</v>
      </c>
      <c r="B121" t="s">
        <v>33</v>
      </c>
      <c r="C121" s="12" t="s">
        <v>32</v>
      </c>
    </row>
    <row r="122" spans="1:3">
      <c r="A122">
        <v>245</v>
      </c>
      <c r="B122" t="s">
        <v>31</v>
      </c>
      <c r="C122" s="12" t="s">
        <v>23</v>
      </c>
    </row>
    <row r="123" spans="1:3">
      <c r="A123">
        <v>246</v>
      </c>
      <c r="B123" t="s">
        <v>21</v>
      </c>
      <c r="C123" s="12" t="s">
        <v>21</v>
      </c>
    </row>
    <row r="124" spans="1:3">
      <c r="A124">
        <v>247</v>
      </c>
      <c r="B124" t="s">
        <v>22</v>
      </c>
      <c r="C124" s="12" t="s">
        <v>22</v>
      </c>
    </row>
    <row r="125" spans="1:3">
      <c r="A125">
        <v>248</v>
      </c>
      <c r="B125" t="s">
        <v>30</v>
      </c>
      <c r="C125" s="12" t="s">
        <v>24</v>
      </c>
    </row>
    <row r="126" spans="1:3">
      <c r="A126">
        <v>249</v>
      </c>
      <c r="B126" t="s">
        <v>29</v>
      </c>
      <c r="C126" s="12" t="s">
        <v>29</v>
      </c>
    </row>
    <row r="127" spans="1:3">
      <c r="A127">
        <v>250</v>
      </c>
      <c r="B127" s="3" t="s">
        <v>28</v>
      </c>
    </row>
    <row r="129" spans="1:3">
      <c r="B129" s="8" t="s">
        <v>196</v>
      </c>
    </row>
    <row r="130" spans="1:3">
      <c r="A130">
        <v>531</v>
      </c>
      <c r="B130" s="20" t="s">
        <v>197</v>
      </c>
      <c r="C130" s="12" t="s">
        <v>167</v>
      </c>
    </row>
    <row r="131" spans="1:3">
      <c r="A131">
        <v>532</v>
      </c>
      <c r="B131" s="20" t="s">
        <v>198</v>
      </c>
      <c r="C131" s="12" t="s">
        <v>166</v>
      </c>
    </row>
    <row r="132" spans="1:3">
      <c r="A132">
        <v>533</v>
      </c>
      <c r="B132" s="20" t="s">
        <v>199</v>
      </c>
      <c r="C132" s="12" t="s">
        <v>165</v>
      </c>
    </row>
    <row r="133" spans="1:3">
      <c r="A133">
        <v>534</v>
      </c>
      <c r="B133" s="2" t="s">
        <v>200</v>
      </c>
      <c r="C133" s="2"/>
    </row>
  </sheetData>
  <sheetProtection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F34"/>
  <sheetViews>
    <sheetView workbookViewId="0">
      <selection activeCell="D31" sqref="D31"/>
    </sheetView>
  </sheetViews>
  <sheetFormatPr defaultRowHeight="14.4"/>
  <cols>
    <col min="1" max="1" width="15.5546875" bestFit="1" customWidth="1"/>
    <col min="2" max="2" width="13.109375" bestFit="1" customWidth="1"/>
    <col min="3" max="3" width="17.44140625" customWidth="1"/>
    <col min="4" max="4" width="16.5546875" bestFit="1" customWidth="1"/>
    <col min="5" max="5" width="14.88671875" customWidth="1"/>
    <col min="6" max="6" width="11.5546875" bestFit="1" customWidth="1"/>
  </cols>
  <sheetData>
    <row r="4" spans="1:6">
      <c r="F4" s="40" t="s">
        <v>292</v>
      </c>
    </row>
    <row r="5" spans="1:6">
      <c r="B5" s="41" t="s">
        <v>283</v>
      </c>
      <c r="C5" s="41" t="s">
        <v>284</v>
      </c>
      <c r="D5" s="41" t="s">
        <v>285</v>
      </c>
      <c r="E5" s="41" t="s">
        <v>286</v>
      </c>
      <c r="F5" s="41" t="s">
        <v>254</v>
      </c>
    </row>
    <row r="6" spans="1:6">
      <c r="A6" s="42" t="s">
        <v>287</v>
      </c>
      <c r="F6">
        <f>SUM(B6:E6)</f>
        <v>0</v>
      </c>
    </row>
    <row r="7" spans="1:6">
      <c r="A7" s="42" t="s">
        <v>288</v>
      </c>
      <c r="F7">
        <f>SUM(B7:E7)</f>
        <v>0</v>
      </c>
    </row>
    <row r="8" spans="1:6">
      <c r="A8" s="42" t="s">
        <v>289</v>
      </c>
      <c r="F8">
        <f>SUM(B8:E8)</f>
        <v>0</v>
      </c>
    </row>
    <row r="9" spans="1:6">
      <c r="A9" s="42" t="s">
        <v>290</v>
      </c>
      <c r="F9">
        <f>SUM(B9:E9)</f>
        <v>0</v>
      </c>
    </row>
    <row r="10" spans="1:6">
      <c r="A10" s="42" t="s">
        <v>291</v>
      </c>
      <c r="F10">
        <f>SUM(B10:E10)</f>
        <v>0</v>
      </c>
    </row>
    <row r="11" spans="1:6">
      <c r="A11" s="10"/>
    </row>
    <row r="12" spans="1:6">
      <c r="A12" s="10"/>
      <c r="F12" s="40" t="s">
        <v>292</v>
      </c>
    </row>
    <row r="13" spans="1:6">
      <c r="A13" s="10"/>
      <c r="B13" s="41" t="s">
        <v>283</v>
      </c>
      <c r="C13" s="41" t="s">
        <v>284</v>
      </c>
      <c r="D13" s="41" t="s">
        <v>285</v>
      </c>
      <c r="E13" s="41" t="s">
        <v>286</v>
      </c>
      <c r="F13" s="41" t="s">
        <v>254</v>
      </c>
    </row>
    <row r="14" spans="1:6">
      <c r="A14" s="42" t="s">
        <v>287</v>
      </c>
      <c r="F14">
        <f>SUM(B14:E14)</f>
        <v>0</v>
      </c>
    </row>
    <row r="15" spans="1:6">
      <c r="A15" s="42" t="s">
        <v>288</v>
      </c>
      <c r="F15">
        <f>SUM(B15:E15)</f>
        <v>0</v>
      </c>
    </row>
    <row r="16" spans="1:6">
      <c r="A16" s="42" t="s">
        <v>289</v>
      </c>
      <c r="F16">
        <f>SUM(B16:E16)</f>
        <v>0</v>
      </c>
    </row>
    <row r="17" spans="1:6">
      <c r="A17" s="42" t="s">
        <v>290</v>
      </c>
      <c r="F17">
        <f>SUM(B17:E17)</f>
        <v>0</v>
      </c>
    </row>
    <row r="18" spans="1:6">
      <c r="A18" s="42" t="s">
        <v>291</v>
      </c>
      <c r="F18">
        <f>SUM(B18:E18)</f>
        <v>0</v>
      </c>
    </row>
    <row r="19" spans="1:6">
      <c r="A19" s="10"/>
    </row>
    <row r="20" spans="1:6">
      <c r="A20" s="10"/>
      <c r="F20" s="40" t="s">
        <v>292</v>
      </c>
    </row>
    <row r="21" spans="1:6">
      <c r="A21" s="10"/>
      <c r="B21" s="41" t="s">
        <v>283</v>
      </c>
      <c r="C21" s="41" t="s">
        <v>284</v>
      </c>
      <c r="D21" s="41" t="s">
        <v>285</v>
      </c>
      <c r="E21" s="41" t="s">
        <v>286</v>
      </c>
      <c r="F21" s="41" t="s">
        <v>254</v>
      </c>
    </row>
    <row r="22" spans="1:6">
      <c r="A22" s="42" t="s">
        <v>287</v>
      </c>
      <c r="F22">
        <f>SUM(B22:E22)</f>
        <v>0</v>
      </c>
    </row>
    <row r="23" spans="1:6">
      <c r="A23" s="42" t="s">
        <v>288</v>
      </c>
      <c r="F23">
        <f>SUM(B23:E23)</f>
        <v>0</v>
      </c>
    </row>
    <row r="24" spans="1:6">
      <c r="A24" s="42" t="s">
        <v>289</v>
      </c>
      <c r="F24">
        <f>SUM(B24:E24)</f>
        <v>0</v>
      </c>
    </row>
    <row r="25" spans="1:6">
      <c r="A25" s="42" t="s">
        <v>290</v>
      </c>
      <c r="F25">
        <f>SUM(B25:E25)</f>
        <v>0</v>
      </c>
    </row>
    <row r="26" spans="1:6">
      <c r="A26" s="42" t="s">
        <v>291</v>
      </c>
      <c r="F26">
        <f>SUM(B26:E26)</f>
        <v>0</v>
      </c>
    </row>
    <row r="27" spans="1:6">
      <c r="A27" s="10"/>
    </row>
    <row r="28" spans="1:6">
      <c r="A28" s="10"/>
      <c r="F28" s="40" t="s">
        <v>292</v>
      </c>
    </row>
    <row r="29" spans="1:6">
      <c r="A29" s="10"/>
      <c r="B29" s="41" t="s">
        <v>283</v>
      </c>
      <c r="C29" s="41" t="s">
        <v>284</v>
      </c>
      <c r="D29" s="41" t="s">
        <v>285</v>
      </c>
      <c r="E29" s="41" t="s">
        <v>286</v>
      </c>
      <c r="F29" s="41" t="s">
        <v>254</v>
      </c>
    </row>
    <row r="30" spans="1:6">
      <c r="A30" s="42" t="s">
        <v>287</v>
      </c>
      <c r="F30">
        <f>SUM(B30:E30)</f>
        <v>0</v>
      </c>
    </row>
    <row r="31" spans="1:6">
      <c r="A31" s="42" t="s">
        <v>288</v>
      </c>
      <c r="F31">
        <f>SUM(B31:E31)</f>
        <v>0</v>
      </c>
    </row>
    <row r="32" spans="1:6">
      <c r="A32" s="42" t="s">
        <v>289</v>
      </c>
      <c r="F32">
        <f>SUM(B32:E32)</f>
        <v>0</v>
      </c>
    </row>
    <row r="33" spans="1:6">
      <c r="A33" s="42" t="s">
        <v>290</v>
      </c>
      <c r="F33">
        <f>SUM(B33:E33)</f>
        <v>0</v>
      </c>
    </row>
    <row r="34" spans="1:6">
      <c r="A34" s="42" t="s">
        <v>291</v>
      </c>
      <c r="F34">
        <f>SUM(B34:E34)</f>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2"/>
  <sheetViews>
    <sheetView zoomScale="90" zoomScaleNormal="90" zoomScaleSheetLayoutView="40" workbookViewId="0">
      <pane xSplit="2" ySplit="2" topLeftCell="C54" activePane="bottomRight" state="frozen"/>
      <selection activeCell="A16" sqref="A16:A18"/>
      <selection pane="topRight" activeCell="A16" sqref="A16:A18"/>
      <selection pane="bottomLeft" activeCell="A16" sqref="A16:A18"/>
      <selection pane="bottomRight" activeCell="I89" sqref="I89:M89"/>
    </sheetView>
  </sheetViews>
  <sheetFormatPr defaultColWidth="9.109375" defaultRowHeight="14.4"/>
  <cols>
    <col min="1" max="1" width="15.6640625" customWidth="1"/>
    <col min="2" max="2" width="27.33203125" customWidth="1"/>
    <col min="3" max="3" width="9.109375" style="25" customWidth="1"/>
    <col min="4" max="8" width="11" hidden="1" customWidth="1"/>
    <col min="9" max="12" width="13.33203125" customWidth="1"/>
    <col min="13" max="13" width="13.33203125" bestFit="1" customWidth="1"/>
    <col min="14" max="17" width="13.33203125" customWidth="1"/>
    <col min="18" max="19" width="11.5546875" bestFit="1" customWidth="1"/>
    <col min="20" max="20" width="12.5546875" bestFit="1" customWidth="1"/>
    <col min="21" max="21" width="11.5546875" bestFit="1" customWidth="1"/>
  </cols>
  <sheetData>
    <row r="1" spans="1:15">
      <c r="A1" s="101" t="s">
        <v>336</v>
      </c>
      <c r="B1" s="12"/>
      <c r="C1" s="24"/>
      <c r="N1" s="102" t="s">
        <v>163</v>
      </c>
      <c r="O1" s="102"/>
    </row>
    <row r="2" spans="1:15" s="105" customFormat="1">
      <c r="A2" s="19" t="s">
        <v>194</v>
      </c>
      <c r="B2" s="19"/>
      <c r="C2" s="103" t="s">
        <v>209</v>
      </c>
      <c r="D2" s="104">
        <f t="shared" ref="D2:H2" si="0">+E2-1</f>
        <v>2013</v>
      </c>
      <c r="E2" s="104">
        <f t="shared" si="0"/>
        <v>2014</v>
      </c>
      <c r="F2" s="104">
        <f t="shared" si="0"/>
        <v>2015</v>
      </c>
      <c r="G2" s="104">
        <f t="shared" si="0"/>
        <v>2016</v>
      </c>
      <c r="H2" s="104">
        <f t="shared" si="0"/>
        <v>2017</v>
      </c>
      <c r="I2" s="105">
        <v>2018</v>
      </c>
      <c r="J2" s="105">
        <v>2019</v>
      </c>
      <c r="K2" s="105">
        <v>2020</v>
      </c>
      <c r="L2" s="105">
        <v>2021</v>
      </c>
      <c r="M2" s="105">
        <v>2022</v>
      </c>
      <c r="N2" s="106">
        <v>2021</v>
      </c>
      <c r="O2" s="106">
        <v>2022</v>
      </c>
    </row>
    <row r="3" spans="1:15" s="105" customFormat="1">
      <c r="A3" s="19"/>
      <c r="B3" s="19"/>
      <c r="C3" s="103"/>
      <c r="D3" s="104"/>
      <c r="E3" s="104"/>
      <c r="F3" s="104"/>
      <c r="G3" s="104"/>
      <c r="H3" s="104" t="s">
        <v>208</v>
      </c>
      <c r="I3" s="105" t="s">
        <v>207</v>
      </c>
      <c r="J3" s="105" t="s">
        <v>206</v>
      </c>
      <c r="K3" s="105" t="s">
        <v>205</v>
      </c>
      <c r="L3" s="105" t="s">
        <v>204</v>
      </c>
      <c r="M3" s="105" t="s">
        <v>203</v>
      </c>
      <c r="N3" s="106"/>
      <c r="O3" s="106"/>
    </row>
    <row r="4" spans="1:15" s="106" customFormat="1" ht="111.6" customHeight="1">
      <c r="C4" s="107"/>
    </row>
    <row r="5" spans="1:15">
      <c r="A5" s="10" t="s">
        <v>1</v>
      </c>
      <c r="I5" s="22"/>
      <c r="K5" s="23"/>
    </row>
    <row r="6" spans="1:15">
      <c r="A6" s="10" t="s">
        <v>2</v>
      </c>
      <c r="L6" s="29"/>
      <c r="M6" s="29"/>
    </row>
    <row r="7" spans="1:15">
      <c r="B7" s="12" t="s">
        <v>4</v>
      </c>
      <c r="C7" s="26" t="s">
        <v>210</v>
      </c>
      <c r="D7" s="15"/>
      <c r="E7" s="15"/>
      <c r="F7" s="15"/>
      <c r="G7" s="15"/>
      <c r="H7" s="15"/>
      <c r="I7" s="12">
        <v>23242014</v>
      </c>
      <c r="J7" s="12">
        <v>28647354</v>
      </c>
      <c r="K7" s="12">
        <v>29676669</v>
      </c>
      <c r="L7" s="12">
        <v>30948924</v>
      </c>
      <c r="M7" s="12">
        <v>31569832</v>
      </c>
      <c r="N7">
        <v>424.88</v>
      </c>
      <c r="O7">
        <v>444.75</v>
      </c>
    </row>
    <row r="8" spans="1:15">
      <c r="B8" s="12" t="s">
        <v>215</v>
      </c>
      <c r="C8" s="26" t="s">
        <v>370</v>
      </c>
      <c r="D8" s="15"/>
      <c r="E8" s="15"/>
      <c r="F8" s="15"/>
      <c r="G8" s="15"/>
      <c r="H8" s="15"/>
      <c r="I8" s="12">
        <v>1226493</v>
      </c>
      <c r="J8" s="12">
        <v>972933</v>
      </c>
      <c r="K8" s="12">
        <v>664630</v>
      </c>
      <c r="L8" s="12">
        <v>901237</v>
      </c>
      <c r="M8" s="12">
        <v>992605</v>
      </c>
      <c r="N8">
        <v>12.37</v>
      </c>
      <c r="O8">
        <v>13.98</v>
      </c>
    </row>
    <row r="9" spans="1:15">
      <c r="B9" s="12" t="s">
        <v>281</v>
      </c>
      <c r="C9" s="26" t="s">
        <v>212</v>
      </c>
      <c r="D9" s="15"/>
      <c r="E9" s="15"/>
      <c r="F9" s="15"/>
      <c r="G9" s="15"/>
      <c r="H9" s="15"/>
      <c r="I9" s="12">
        <v>3524892</v>
      </c>
      <c r="J9" s="12">
        <v>2965751</v>
      </c>
      <c r="K9" s="12">
        <v>4113017</v>
      </c>
      <c r="L9" s="12">
        <v>1063500</v>
      </c>
      <c r="M9" s="12">
        <v>1379799</v>
      </c>
      <c r="N9">
        <v>14.6</v>
      </c>
      <c r="O9">
        <v>19.440000000000001</v>
      </c>
    </row>
    <row r="10" spans="1:15">
      <c r="B10" s="12" t="s">
        <v>282</v>
      </c>
      <c r="C10" s="26" t="s">
        <v>213</v>
      </c>
      <c r="D10" s="15"/>
      <c r="E10" s="15"/>
      <c r="F10" s="15"/>
      <c r="G10" s="15"/>
      <c r="H10" s="15"/>
      <c r="I10" s="12">
        <v>7508819</v>
      </c>
      <c r="J10" s="12">
        <v>7498635</v>
      </c>
      <c r="K10" s="12">
        <v>7266877</v>
      </c>
      <c r="L10" s="12">
        <v>8444015</v>
      </c>
      <c r="M10" s="12">
        <v>8963946</v>
      </c>
      <c r="N10">
        <v>115.92</v>
      </c>
      <c r="O10">
        <v>126.28</v>
      </c>
    </row>
    <row r="11" spans="1:15">
      <c r="B11" s="12" t="s">
        <v>5</v>
      </c>
      <c r="C11" s="26" t="s">
        <v>214</v>
      </c>
      <c r="D11" s="15"/>
      <c r="E11" s="15"/>
      <c r="F11" s="15"/>
      <c r="G11" s="15"/>
      <c r="H11" s="15"/>
      <c r="I11" s="12">
        <v>11490680</v>
      </c>
      <c r="J11" s="12">
        <v>11858005</v>
      </c>
      <c r="K11" s="12">
        <v>11255309</v>
      </c>
      <c r="L11" s="12">
        <v>12381995</v>
      </c>
      <c r="M11" s="12">
        <v>13062468</v>
      </c>
      <c r="N11">
        <v>169.98</v>
      </c>
      <c r="O11">
        <v>184.02</v>
      </c>
    </row>
    <row r="12" spans="1:15">
      <c r="B12" s="12" t="s">
        <v>216</v>
      </c>
      <c r="C12" s="26" t="s">
        <v>217</v>
      </c>
      <c r="D12" s="15"/>
      <c r="E12" s="15"/>
      <c r="F12" s="15"/>
      <c r="G12" s="15"/>
      <c r="H12" s="15"/>
      <c r="I12" s="12">
        <v>1576665</v>
      </c>
      <c r="J12" s="12">
        <v>1539971</v>
      </c>
      <c r="K12" s="12">
        <v>1144655</v>
      </c>
      <c r="L12" s="12">
        <v>1490579</v>
      </c>
      <c r="M12" s="12">
        <v>1398246</v>
      </c>
      <c r="N12">
        <v>20.46</v>
      </c>
      <c r="O12">
        <v>19.7</v>
      </c>
    </row>
    <row r="13" spans="1:15">
      <c r="B13" s="12" t="s">
        <v>9</v>
      </c>
      <c r="C13" s="26" t="s">
        <v>371</v>
      </c>
      <c r="D13" s="15"/>
      <c r="E13" s="15"/>
      <c r="F13" s="15"/>
      <c r="G13" s="15"/>
      <c r="H13" s="15"/>
      <c r="I13" s="12">
        <v>919804</v>
      </c>
      <c r="J13" s="12">
        <v>1216850</v>
      </c>
      <c r="K13" s="12">
        <v>1136633</v>
      </c>
      <c r="L13" s="12">
        <v>847098</v>
      </c>
      <c r="M13" s="12">
        <v>897958</v>
      </c>
      <c r="N13">
        <v>11.63</v>
      </c>
      <c r="O13">
        <v>12.65</v>
      </c>
    </row>
    <row r="14" spans="1:15">
      <c r="B14" s="12" t="s">
        <v>78</v>
      </c>
      <c r="C14" s="26" t="s">
        <v>211</v>
      </c>
      <c r="D14" s="15"/>
      <c r="E14" s="15"/>
      <c r="F14" s="15"/>
      <c r="G14" s="15"/>
      <c r="H14" s="15"/>
      <c r="I14" s="12">
        <v>322266</v>
      </c>
      <c r="J14" s="12">
        <v>324748</v>
      </c>
      <c r="K14" s="12">
        <v>17157</v>
      </c>
      <c r="L14" s="12">
        <v>16146</v>
      </c>
      <c r="M14" s="12">
        <v>15845</v>
      </c>
      <c r="N14">
        <v>0.22</v>
      </c>
      <c r="O14">
        <v>0.22</v>
      </c>
    </row>
    <row r="15" spans="1:15">
      <c r="B15" s="12" t="s">
        <v>226</v>
      </c>
      <c r="C15" s="26" t="s">
        <v>218</v>
      </c>
      <c r="D15" s="15"/>
      <c r="E15" s="15"/>
      <c r="F15" s="15"/>
      <c r="G15" s="15"/>
      <c r="H15" s="15"/>
      <c r="I15" s="12">
        <v>2290613</v>
      </c>
      <c r="J15" s="12">
        <v>2818213</v>
      </c>
      <c r="K15" s="12">
        <v>2392179</v>
      </c>
      <c r="L15" s="12">
        <v>2421343</v>
      </c>
      <c r="M15" s="12">
        <v>2973253</v>
      </c>
      <c r="N15">
        <v>33.24</v>
      </c>
      <c r="O15">
        <v>41.89</v>
      </c>
    </row>
    <row r="16" spans="1:15">
      <c r="B16" s="12" t="s">
        <v>235</v>
      </c>
      <c r="C16" s="26" t="s">
        <v>228</v>
      </c>
      <c r="D16" s="15"/>
      <c r="E16" s="15"/>
      <c r="F16" s="15"/>
      <c r="G16" s="15"/>
      <c r="H16" s="15"/>
      <c r="I16" s="12">
        <v>0</v>
      </c>
      <c r="J16" s="12">
        <v>0</v>
      </c>
      <c r="K16" s="12">
        <v>0</v>
      </c>
      <c r="L16" s="12">
        <v>0</v>
      </c>
      <c r="M16" s="12">
        <v>0</v>
      </c>
      <c r="N16">
        <v>0</v>
      </c>
      <c r="O16">
        <v>0</v>
      </c>
    </row>
    <row r="17" spans="1:15">
      <c r="B17" s="12" t="s">
        <v>227</v>
      </c>
      <c r="C17" s="26" t="s">
        <v>228</v>
      </c>
      <c r="D17" s="15"/>
      <c r="E17" s="15"/>
      <c r="F17" s="15"/>
      <c r="G17" s="15"/>
      <c r="H17" s="15"/>
      <c r="I17" s="12">
        <v>13467</v>
      </c>
      <c r="J17" s="12">
        <v>235149</v>
      </c>
      <c r="K17" s="12">
        <v>34821</v>
      </c>
      <c r="L17" s="12">
        <v>19203</v>
      </c>
      <c r="M17" s="12">
        <v>11835</v>
      </c>
      <c r="N17">
        <v>0.26</v>
      </c>
      <c r="O17">
        <v>0.17</v>
      </c>
    </row>
    <row r="18" spans="1:15">
      <c r="B18" s="13" t="s">
        <v>11</v>
      </c>
      <c r="C18" s="24"/>
      <c r="D18" s="4">
        <f t="shared" ref="D18:H18" si="1">SUM(D7:D17)</f>
        <v>0</v>
      </c>
      <c r="E18" s="4">
        <f t="shared" si="1"/>
        <v>0</v>
      </c>
      <c r="F18" s="4">
        <f t="shared" si="1"/>
        <v>0</v>
      </c>
      <c r="G18" s="4">
        <f t="shared" si="1"/>
        <v>0</v>
      </c>
      <c r="H18" s="4">
        <f t="shared" si="1"/>
        <v>0</v>
      </c>
      <c r="I18" s="4">
        <v>52115713</v>
      </c>
      <c r="J18" s="4">
        <v>58077609</v>
      </c>
      <c r="K18" s="4">
        <v>57701947</v>
      </c>
      <c r="L18" s="4">
        <v>58534040</v>
      </c>
      <c r="M18" s="4">
        <v>61265787</v>
      </c>
      <c r="N18" s="4">
        <v>824.61</v>
      </c>
      <c r="O18" s="4">
        <v>863.09</v>
      </c>
    </row>
    <row r="19" spans="1:15">
      <c r="A19" s="10" t="s">
        <v>0</v>
      </c>
    </row>
    <row r="20" spans="1:15">
      <c r="B20" s="12" t="s">
        <v>27</v>
      </c>
      <c r="C20" s="26" t="s">
        <v>219</v>
      </c>
      <c r="D20" s="15"/>
      <c r="E20" s="15"/>
      <c r="F20" s="15"/>
      <c r="G20" s="15"/>
      <c r="H20" s="15"/>
      <c r="I20" s="12">
        <v>5822151</v>
      </c>
      <c r="J20" s="12">
        <v>6344936</v>
      </c>
      <c r="K20" s="12">
        <v>7041353</v>
      </c>
      <c r="L20" s="12">
        <v>6593142</v>
      </c>
      <c r="M20" s="12">
        <v>8021885</v>
      </c>
      <c r="N20">
        <v>90.51</v>
      </c>
      <c r="O20">
        <v>113.01</v>
      </c>
    </row>
    <row r="21" spans="1:15">
      <c r="B21" s="12" t="s">
        <v>314</v>
      </c>
      <c r="C21" s="26" t="s">
        <v>315</v>
      </c>
      <c r="D21" s="15"/>
      <c r="E21" s="15"/>
      <c r="F21" s="15"/>
      <c r="G21" s="15"/>
      <c r="H21" s="15"/>
      <c r="I21" s="12">
        <v>2440936</v>
      </c>
      <c r="J21" s="12">
        <v>2655766</v>
      </c>
      <c r="K21" s="12">
        <v>2557720</v>
      </c>
      <c r="L21" s="12">
        <v>2623970</v>
      </c>
      <c r="M21" s="12">
        <v>2679214</v>
      </c>
      <c r="N21">
        <v>36.020000000000003</v>
      </c>
    </row>
    <row r="22" spans="1:15">
      <c r="B22" s="12" t="s">
        <v>12</v>
      </c>
      <c r="C22" s="26" t="s">
        <v>220</v>
      </c>
      <c r="D22" s="15"/>
      <c r="E22" s="15"/>
      <c r="F22" s="15"/>
      <c r="G22" s="15"/>
      <c r="H22" s="15"/>
      <c r="I22" s="12">
        <v>31521016</v>
      </c>
      <c r="J22" s="12">
        <v>32847831</v>
      </c>
      <c r="K22" s="12">
        <v>33991584</v>
      </c>
      <c r="L22" s="12">
        <v>34198210</v>
      </c>
      <c r="M22" s="12">
        <v>34557436</v>
      </c>
      <c r="N22">
        <v>469.48</v>
      </c>
      <c r="O22">
        <v>486.83</v>
      </c>
    </row>
    <row r="23" spans="1:15">
      <c r="B23" s="12" t="s">
        <v>316</v>
      </c>
      <c r="C23" s="26" t="s">
        <v>373</v>
      </c>
      <c r="D23" s="15"/>
      <c r="E23" s="15"/>
      <c r="F23" s="15"/>
      <c r="G23" s="15"/>
      <c r="H23" s="15"/>
      <c r="I23" s="12">
        <v>1258415</v>
      </c>
      <c r="J23" s="12">
        <v>1266307</v>
      </c>
      <c r="K23" s="12">
        <v>1172795</v>
      </c>
      <c r="L23" s="12">
        <v>1362625</v>
      </c>
      <c r="M23" s="12">
        <v>1440928</v>
      </c>
      <c r="N23">
        <v>18.71</v>
      </c>
      <c r="O23">
        <v>20.3</v>
      </c>
    </row>
    <row r="24" spans="1:15">
      <c r="B24" s="12" t="s">
        <v>317</v>
      </c>
      <c r="C24" s="26" t="s">
        <v>221</v>
      </c>
      <c r="D24" s="15"/>
      <c r="E24" s="15"/>
      <c r="F24" s="15"/>
      <c r="G24" s="15"/>
      <c r="H24" s="15"/>
      <c r="I24" s="12">
        <v>179578</v>
      </c>
      <c r="J24" s="12">
        <v>98693</v>
      </c>
      <c r="K24" s="12">
        <v>116028</v>
      </c>
      <c r="L24" s="12">
        <v>32882</v>
      </c>
      <c r="M24" s="12">
        <v>127453</v>
      </c>
      <c r="N24">
        <v>0.45</v>
      </c>
      <c r="O24">
        <v>1.8</v>
      </c>
    </row>
    <row r="25" spans="1:15">
      <c r="B25" s="12" t="s">
        <v>18</v>
      </c>
      <c r="C25" s="26" t="s">
        <v>222</v>
      </c>
      <c r="D25" s="15"/>
      <c r="E25" s="15"/>
      <c r="F25" s="15"/>
      <c r="G25" s="15"/>
      <c r="H25" s="15"/>
      <c r="I25" s="12">
        <v>1475980</v>
      </c>
      <c r="J25" s="12">
        <v>1798749</v>
      </c>
      <c r="K25" s="12">
        <v>1972888</v>
      </c>
      <c r="L25" s="12">
        <v>2299651</v>
      </c>
      <c r="M25" s="12">
        <v>2110788</v>
      </c>
      <c r="N25">
        <v>31.57</v>
      </c>
      <c r="O25">
        <v>29.74</v>
      </c>
    </row>
    <row r="26" spans="1:15">
      <c r="B26" s="12" t="s">
        <v>32</v>
      </c>
      <c r="C26" s="26" t="s">
        <v>223</v>
      </c>
      <c r="D26" s="15"/>
      <c r="E26" s="15"/>
      <c r="F26" s="15"/>
      <c r="G26" s="15"/>
      <c r="H26" s="15"/>
      <c r="I26" s="12">
        <v>3793252</v>
      </c>
      <c r="J26" s="12">
        <v>4222055</v>
      </c>
      <c r="K26" s="12">
        <v>3491142</v>
      </c>
      <c r="L26" s="12">
        <v>3740494</v>
      </c>
      <c r="M26" s="12">
        <v>3864456</v>
      </c>
      <c r="N26">
        <v>51.35</v>
      </c>
      <c r="O26">
        <v>54.44</v>
      </c>
    </row>
    <row r="27" spans="1:15">
      <c r="B27" s="12" t="s">
        <v>21</v>
      </c>
      <c r="C27" s="26" t="s">
        <v>224</v>
      </c>
      <c r="D27" s="15"/>
      <c r="E27" s="15"/>
      <c r="F27" s="15"/>
      <c r="G27" s="15"/>
      <c r="H27" s="15"/>
      <c r="I27" s="12">
        <v>1368262</v>
      </c>
      <c r="J27" s="12">
        <v>1837282</v>
      </c>
      <c r="K27" s="12">
        <v>2121981</v>
      </c>
      <c r="L27" s="12">
        <v>3690144</v>
      </c>
      <c r="M27" s="12">
        <v>3825005</v>
      </c>
      <c r="N27">
        <v>50.66</v>
      </c>
      <c r="O27">
        <v>53.89</v>
      </c>
    </row>
    <row r="28" spans="1:15">
      <c r="B28" s="12" t="s">
        <v>22</v>
      </c>
      <c r="C28" s="26" t="s">
        <v>225</v>
      </c>
      <c r="D28" s="15"/>
      <c r="E28" s="15"/>
      <c r="F28" s="15"/>
      <c r="G28" s="15"/>
      <c r="H28" s="15"/>
      <c r="I28" s="12">
        <v>1793218</v>
      </c>
      <c r="J28" s="12">
        <v>132434</v>
      </c>
      <c r="K28" s="12">
        <v>133760</v>
      </c>
      <c r="L28" s="12">
        <v>272711</v>
      </c>
      <c r="M28" s="12">
        <v>0</v>
      </c>
      <c r="N28">
        <v>3.74</v>
      </c>
      <c r="O28">
        <v>0</v>
      </c>
    </row>
    <row r="29" spans="1:15">
      <c r="B29" s="12" t="s">
        <v>239</v>
      </c>
      <c r="C29" s="26" t="s">
        <v>228</v>
      </c>
      <c r="D29" s="15"/>
      <c r="E29" s="15"/>
      <c r="F29" s="15"/>
      <c r="G29" s="15"/>
      <c r="H29" s="15"/>
      <c r="I29" s="12">
        <v>0</v>
      </c>
      <c r="J29" s="12">
        <v>0</v>
      </c>
      <c r="K29" s="12">
        <v>0</v>
      </c>
      <c r="L29" s="12">
        <v>0</v>
      </c>
      <c r="M29" s="12">
        <v>0</v>
      </c>
      <c r="N29">
        <v>0</v>
      </c>
      <c r="O29">
        <v>0</v>
      </c>
    </row>
    <row r="30" spans="1:15">
      <c r="B30" s="12" t="s">
        <v>29</v>
      </c>
      <c r="C30" s="26" t="s">
        <v>240</v>
      </c>
      <c r="D30" s="15"/>
      <c r="E30" s="15"/>
      <c r="F30" s="15"/>
      <c r="G30" s="15"/>
      <c r="H30" s="15"/>
      <c r="I30" s="12">
        <v>0</v>
      </c>
      <c r="J30" s="12">
        <v>0</v>
      </c>
      <c r="K30" s="12">
        <v>0</v>
      </c>
      <c r="L30" s="12">
        <v>0</v>
      </c>
      <c r="M30" s="12">
        <v>0</v>
      </c>
      <c r="N30">
        <v>0</v>
      </c>
      <c r="O30">
        <v>0</v>
      </c>
    </row>
    <row r="31" spans="1:15">
      <c r="B31" s="3" t="s">
        <v>25</v>
      </c>
      <c r="D31" s="4">
        <f t="shared" ref="D31:H31" si="2">SUM(D20:D30)</f>
        <v>0</v>
      </c>
      <c r="E31" s="4">
        <f t="shared" si="2"/>
        <v>0</v>
      </c>
      <c r="F31" s="4">
        <f t="shared" si="2"/>
        <v>0</v>
      </c>
      <c r="G31" s="4">
        <f t="shared" si="2"/>
        <v>0</v>
      </c>
      <c r="H31" s="4">
        <f t="shared" si="2"/>
        <v>0</v>
      </c>
      <c r="I31" s="4">
        <v>49652808</v>
      </c>
      <c r="J31" s="4">
        <v>51204053</v>
      </c>
      <c r="K31" s="4">
        <v>52599251</v>
      </c>
      <c r="L31" s="4">
        <v>54813829</v>
      </c>
      <c r="M31" s="4">
        <v>56627165</v>
      </c>
      <c r="N31" s="4">
        <v>772.2</v>
      </c>
      <c r="O31" s="4">
        <v>797.75</v>
      </c>
    </row>
    <row r="32" spans="1:15" ht="15" thickBot="1">
      <c r="B32" t="s">
        <v>26</v>
      </c>
      <c r="D32" s="5">
        <f t="shared" ref="D32:H32" si="3">+D18-D31</f>
        <v>0</v>
      </c>
      <c r="E32" s="5">
        <f t="shared" si="3"/>
        <v>0</v>
      </c>
      <c r="F32" s="5">
        <f t="shared" si="3"/>
        <v>0</v>
      </c>
      <c r="G32" s="5">
        <f t="shared" si="3"/>
        <v>0</v>
      </c>
      <c r="H32" s="5">
        <f t="shared" si="3"/>
        <v>0</v>
      </c>
      <c r="I32" s="5">
        <v>2462905</v>
      </c>
      <c r="J32" s="5">
        <v>6873556</v>
      </c>
      <c r="K32" s="5">
        <v>5102696</v>
      </c>
      <c r="L32" s="5">
        <v>3720211</v>
      </c>
      <c r="M32" s="5">
        <v>4638622</v>
      </c>
      <c r="N32" s="5">
        <v>52.41</v>
      </c>
      <c r="O32" s="5">
        <v>65.349999999999994</v>
      </c>
    </row>
    <row r="33" spans="1:16" ht="15" thickTop="1">
      <c r="A33" s="10" t="s">
        <v>148</v>
      </c>
    </row>
    <row r="34" spans="1:16">
      <c r="N34" s="106"/>
      <c r="O34" s="106"/>
    </row>
    <row r="35" spans="1:16">
      <c r="B35" s="12" t="s">
        <v>287</v>
      </c>
      <c r="C35" s="26" t="s">
        <v>293</v>
      </c>
      <c r="D35" s="15"/>
      <c r="E35" s="15"/>
      <c r="F35" s="15"/>
      <c r="G35" s="15"/>
      <c r="H35" s="15"/>
      <c r="I35" s="12">
        <v>68599</v>
      </c>
      <c r="J35" s="12">
        <v>1085264</v>
      </c>
      <c r="K35" s="12">
        <v>1020831</v>
      </c>
      <c r="L35" s="12">
        <v>716358</v>
      </c>
      <c r="M35" s="12">
        <v>721765</v>
      </c>
      <c r="N35">
        <v>9.83</v>
      </c>
      <c r="O35" s="108">
        <v>10.17</v>
      </c>
    </row>
    <row r="36" spans="1:16">
      <c r="B36" s="12" t="s">
        <v>288</v>
      </c>
      <c r="C36" s="26" t="s">
        <v>294</v>
      </c>
      <c r="D36" s="15"/>
      <c r="E36" s="15"/>
      <c r="F36" s="15"/>
      <c r="G36" s="15"/>
      <c r="H36" s="15"/>
      <c r="I36" s="12">
        <v>3901915</v>
      </c>
      <c r="J36" s="12">
        <v>3816298</v>
      </c>
      <c r="K36" s="12">
        <v>3603925</v>
      </c>
      <c r="L36" s="12">
        <v>3097049</v>
      </c>
      <c r="M36" s="12">
        <v>4001601</v>
      </c>
      <c r="N36">
        <v>42.52</v>
      </c>
      <c r="O36" s="108">
        <v>56.37</v>
      </c>
    </row>
    <row r="37" spans="1:16">
      <c r="B37" s="12" t="s">
        <v>289</v>
      </c>
      <c r="C37" s="26" t="s">
        <v>295</v>
      </c>
      <c r="D37" s="15"/>
      <c r="E37" s="15"/>
      <c r="F37" s="15"/>
      <c r="G37" s="15"/>
      <c r="H37" s="15"/>
      <c r="I37" s="12">
        <v>4124436</v>
      </c>
      <c r="J37" s="12">
        <v>6796119</v>
      </c>
      <c r="K37" s="12">
        <v>9122136</v>
      </c>
      <c r="L37" s="12">
        <v>11689819</v>
      </c>
      <c r="M37" s="12">
        <v>13021916</v>
      </c>
      <c r="N37">
        <v>160.47999999999999</v>
      </c>
      <c r="O37" s="108">
        <v>183.45</v>
      </c>
    </row>
    <row r="38" spans="1:16">
      <c r="B38" s="12" t="s">
        <v>290</v>
      </c>
      <c r="C38" s="26" t="s">
        <v>296</v>
      </c>
      <c r="D38" s="15"/>
      <c r="E38" s="15"/>
      <c r="F38" s="15"/>
      <c r="G38" s="15"/>
      <c r="H38" s="15"/>
      <c r="I38" s="12">
        <v>11232977</v>
      </c>
      <c r="J38" s="12">
        <v>13578378</v>
      </c>
      <c r="K38" s="12">
        <v>13942511</v>
      </c>
      <c r="L38" s="12">
        <v>14929924</v>
      </c>
      <c r="M38" s="12">
        <v>16540653</v>
      </c>
      <c r="N38">
        <v>204.96</v>
      </c>
      <c r="O38" s="108">
        <v>233.02</v>
      </c>
    </row>
    <row r="39" spans="1:16">
      <c r="B39" s="12" t="s">
        <v>291</v>
      </c>
      <c r="C39" s="26" t="s">
        <v>297</v>
      </c>
      <c r="D39" s="15"/>
      <c r="E39" s="15"/>
      <c r="F39" s="15"/>
      <c r="G39" s="15"/>
      <c r="H39" s="15"/>
      <c r="I39" s="12">
        <v>7607096</v>
      </c>
      <c r="J39" s="12">
        <v>8532520</v>
      </c>
      <c r="K39" s="12">
        <v>10891425</v>
      </c>
      <c r="L39" s="12">
        <v>11867889</v>
      </c>
      <c r="M39" s="12">
        <v>12653726</v>
      </c>
      <c r="N39">
        <v>162.93</v>
      </c>
      <c r="O39" s="108">
        <v>178.26</v>
      </c>
    </row>
    <row r="40" spans="1:16" ht="15" thickBot="1">
      <c r="B40" s="2" t="s">
        <v>149</v>
      </c>
      <c r="D40" s="5">
        <f>SUM(D35:D37)</f>
        <v>0</v>
      </c>
      <c r="E40" s="5">
        <f>SUM(E35:E37)</f>
        <v>0</v>
      </c>
      <c r="F40" s="5">
        <f>SUM(F35:F37)</f>
        <v>0</v>
      </c>
      <c r="G40" s="5">
        <f>SUM(G35:G37)</f>
        <v>0</v>
      </c>
      <c r="H40" s="5">
        <f>SUM(H35:H37)</f>
        <v>0</v>
      </c>
      <c r="I40" s="5">
        <v>26935023</v>
      </c>
      <c r="J40" s="5">
        <v>33808579</v>
      </c>
      <c r="K40" s="5">
        <v>38580828</v>
      </c>
      <c r="L40" s="5">
        <v>42301039</v>
      </c>
      <c r="M40" s="5">
        <v>46939661</v>
      </c>
      <c r="N40" s="109">
        <v>595.91999999999996</v>
      </c>
      <c r="O40" s="109">
        <v>661.27</v>
      </c>
      <c r="P40" s="5"/>
    </row>
    <row r="41" spans="1:16" ht="15" thickTop="1"/>
    <row r="42" spans="1:16">
      <c r="B42" t="s">
        <v>298</v>
      </c>
      <c r="D42">
        <f>SUM(D35:D36)</f>
        <v>0</v>
      </c>
      <c r="E42">
        <f>SUM(E35:E36)</f>
        <v>0</v>
      </c>
      <c r="F42">
        <f>SUM(F35:F36)</f>
        <v>0</v>
      </c>
      <c r="G42">
        <f>SUM(G35:G36)</f>
        <v>0</v>
      </c>
      <c r="H42">
        <f>SUM(H35:H36)</f>
        <v>0</v>
      </c>
      <c r="I42">
        <v>26935023</v>
      </c>
      <c r="J42">
        <v>33808579</v>
      </c>
      <c r="K42">
        <v>38580828</v>
      </c>
      <c r="L42">
        <v>42301039</v>
      </c>
      <c r="M42">
        <v>46939661</v>
      </c>
      <c r="N42" s="108">
        <v>595.91999999999996</v>
      </c>
      <c r="O42" s="108">
        <v>661.27</v>
      </c>
    </row>
    <row r="44" spans="1:16">
      <c r="A44" s="10" t="s">
        <v>152</v>
      </c>
      <c r="I44" s="110"/>
      <c r="J44" s="110"/>
      <c r="K44" s="110"/>
      <c r="L44" s="110"/>
      <c r="M44" s="110"/>
      <c r="N44" s="102"/>
      <c r="O44" s="102"/>
    </row>
    <row r="45" spans="1:16">
      <c r="A45" t="s">
        <v>168</v>
      </c>
      <c r="N45" s="106"/>
      <c r="O45" s="106"/>
    </row>
    <row r="46" spans="1:16">
      <c r="A46" t="s">
        <v>256</v>
      </c>
      <c r="I46" s="130">
        <v>43465</v>
      </c>
      <c r="J46" s="130">
        <v>43830</v>
      </c>
      <c r="K46" s="130">
        <v>44196</v>
      </c>
      <c r="L46" s="130">
        <v>44561</v>
      </c>
      <c r="M46" s="130">
        <v>44926</v>
      </c>
      <c r="N46" s="102"/>
      <c r="O46" s="106"/>
    </row>
    <row r="47" spans="1:16">
      <c r="B47" s="111" t="s">
        <v>153</v>
      </c>
      <c r="C47" s="26" t="s">
        <v>245</v>
      </c>
      <c r="D47" s="15"/>
      <c r="E47" s="15"/>
      <c r="F47" s="15"/>
      <c r="G47" s="15"/>
      <c r="H47" s="15"/>
      <c r="I47" s="127">
        <v>146604418</v>
      </c>
      <c r="J47" s="127">
        <v>167210143</v>
      </c>
      <c r="K47" s="127">
        <v>183705345</v>
      </c>
      <c r="L47" s="127">
        <v>204677151</v>
      </c>
      <c r="M47" s="132">
        <v>167705118</v>
      </c>
      <c r="N47" s="102"/>
    </row>
    <row r="48" spans="1:16">
      <c r="B48" s="111" t="s">
        <v>369</v>
      </c>
      <c r="C48" s="26" t="s">
        <v>245</v>
      </c>
      <c r="D48" s="15"/>
      <c r="E48" s="15"/>
      <c r="F48" s="15"/>
      <c r="G48" s="15"/>
      <c r="H48" s="15"/>
      <c r="I48" s="127">
        <v>179413385</v>
      </c>
      <c r="J48" s="127">
        <v>180591984</v>
      </c>
      <c r="K48" s="127">
        <v>183206598</v>
      </c>
      <c r="L48" s="127">
        <v>186257656</v>
      </c>
      <c r="M48" s="132">
        <v>189292443</v>
      </c>
      <c r="N48" s="102"/>
    </row>
    <row r="49" spans="1:15">
      <c r="B49" s="111" t="s">
        <v>175</v>
      </c>
      <c r="C49" s="24"/>
      <c r="D49">
        <f t="shared" ref="D49:H49" si="4">+D48-D47</f>
        <v>0</v>
      </c>
      <c r="E49">
        <f t="shared" si="4"/>
        <v>0</v>
      </c>
      <c r="F49">
        <f t="shared" si="4"/>
        <v>0</v>
      </c>
      <c r="G49">
        <f t="shared" si="4"/>
        <v>0</v>
      </c>
      <c r="H49">
        <f t="shared" si="4"/>
        <v>0</v>
      </c>
      <c r="I49">
        <v>32808967</v>
      </c>
      <c r="J49">
        <v>13381841</v>
      </c>
      <c r="K49">
        <v>-498747</v>
      </c>
      <c r="L49">
        <v>-18419495</v>
      </c>
      <c r="M49">
        <v>21587325</v>
      </c>
      <c r="N49">
        <v>-252.87</v>
      </c>
      <c r="O49" s="108">
        <v>304.12</v>
      </c>
    </row>
    <row r="50" spans="1:15">
      <c r="A50" s="3"/>
      <c r="B50" t="s">
        <v>154</v>
      </c>
      <c r="C50" s="112"/>
      <c r="D50" s="113" t="e">
        <f t="shared" ref="D50:H50" si="5">+D47/D48</f>
        <v>#DIV/0!</v>
      </c>
      <c r="E50" s="113" t="e">
        <f t="shared" si="5"/>
        <v>#DIV/0!</v>
      </c>
      <c r="F50" s="113" t="e">
        <f t="shared" si="5"/>
        <v>#DIV/0!</v>
      </c>
      <c r="G50" s="113" t="e">
        <f t="shared" si="5"/>
        <v>#DIV/0!</v>
      </c>
      <c r="H50" s="113" t="e">
        <f t="shared" si="5"/>
        <v>#DIV/0!</v>
      </c>
      <c r="I50" s="114">
        <v>0.81713199937674663</v>
      </c>
      <c r="J50" s="114">
        <v>0.92590013851334618</v>
      </c>
      <c r="K50" s="114">
        <v>1.0027223200771405</v>
      </c>
      <c r="L50" s="114">
        <v>1.0988925523684245</v>
      </c>
      <c r="M50" s="114">
        <v>0.88595780868019125</v>
      </c>
      <c r="N50" s="115"/>
      <c r="O50" s="115"/>
    </row>
    <row r="51" spans="1:15">
      <c r="A51" t="s">
        <v>169</v>
      </c>
    </row>
    <row r="52" spans="1:15">
      <c r="A52" t="s">
        <v>256</v>
      </c>
      <c r="I52" s="130">
        <v>43465</v>
      </c>
      <c r="J52" s="130">
        <v>43830</v>
      </c>
      <c r="K52" s="130">
        <v>44196</v>
      </c>
      <c r="L52" s="130">
        <v>44561</v>
      </c>
      <c r="M52" s="130">
        <v>44926</v>
      </c>
      <c r="O52" s="106"/>
    </row>
    <row r="53" spans="1:15">
      <c r="B53" s="111" t="s">
        <v>153</v>
      </c>
      <c r="C53" s="26" t="s">
        <v>245</v>
      </c>
      <c r="D53" s="15">
        <v>0</v>
      </c>
      <c r="E53" s="15">
        <f>D53*1.05</f>
        <v>0</v>
      </c>
      <c r="F53" s="15">
        <f>E53*1.05</f>
        <v>0</v>
      </c>
      <c r="G53" s="15">
        <f>F53*1.05</f>
        <v>0</v>
      </c>
      <c r="H53" s="15">
        <f>G53*1.05</f>
        <v>0</v>
      </c>
      <c r="I53" s="15">
        <v>14058032</v>
      </c>
      <c r="J53" s="15">
        <v>22152960</v>
      </c>
      <c r="K53" s="15">
        <v>30597183</v>
      </c>
      <c r="L53" s="15">
        <v>41080230</v>
      </c>
      <c r="M53" s="132">
        <v>39478808</v>
      </c>
    </row>
    <row r="54" spans="1:15">
      <c r="B54" s="111" t="s">
        <v>201</v>
      </c>
      <c r="C54" s="26" t="s">
        <v>245</v>
      </c>
      <c r="D54" s="15"/>
      <c r="E54" s="15"/>
      <c r="F54" s="15"/>
      <c r="G54" s="15"/>
      <c r="H54" s="15"/>
      <c r="I54" s="15">
        <v>168056281</v>
      </c>
      <c r="J54" s="15">
        <v>155197432</v>
      </c>
      <c r="K54" s="15">
        <v>160692316</v>
      </c>
      <c r="L54" s="15">
        <v>150788543</v>
      </c>
      <c r="M54" s="132">
        <v>120339872</v>
      </c>
    </row>
    <row r="55" spans="1:15">
      <c r="B55" s="111" t="s">
        <v>160</v>
      </c>
      <c r="C55" s="24"/>
      <c r="I55" s="12">
        <v>153998249</v>
      </c>
      <c r="J55" s="12">
        <v>133044472</v>
      </c>
      <c r="K55" s="12">
        <v>130095133</v>
      </c>
      <c r="L55" s="12">
        <v>109708313</v>
      </c>
      <c r="M55" s="12">
        <v>80861064</v>
      </c>
      <c r="N55">
        <v>1506.11</v>
      </c>
      <c r="O55" s="108">
        <v>1139.1400000000001</v>
      </c>
    </row>
    <row r="56" spans="1:15">
      <c r="A56" s="3"/>
      <c r="B56" t="s">
        <v>154</v>
      </c>
      <c r="C56" s="112"/>
      <c r="D56" s="113" t="e">
        <f t="shared" ref="D56:H56" si="6">+D53/D54</f>
        <v>#DIV/0!</v>
      </c>
      <c r="E56" s="113" t="e">
        <f t="shared" si="6"/>
        <v>#DIV/0!</v>
      </c>
      <c r="F56" s="113" t="e">
        <f t="shared" si="6"/>
        <v>#DIV/0!</v>
      </c>
      <c r="G56" s="113" t="e">
        <f t="shared" si="6"/>
        <v>#DIV/0!</v>
      </c>
      <c r="H56" s="113" t="e">
        <f t="shared" si="6"/>
        <v>#DIV/0!</v>
      </c>
      <c r="I56" s="114">
        <v>8.3650738409473666E-2</v>
      </c>
      <c r="J56" s="114">
        <v>0.14274050617023096</v>
      </c>
      <c r="K56" s="114">
        <v>0.19040850092670267</v>
      </c>
      <c r="L56" s="114">
        <v>0.27243601657454836</v>
      </c>
      <c r="M56" s="114">
        <v>0.32806091068469806</v>
      </c>
      <c r="N56" s="115"/>
      <c r="O56" s="115"/>
    </row>
    <row r="57" spans="1:15">
      <c r="A57" s="8" t="s">
        <v>170</v>
      </c>
    </row>
    <row r="58" spans="1:15">
      <c r="B58" s="111" t="s">
        <v>153</v>
      </c>
      <c r="C58" s="24"/>
      <c r="D58">
        <f t="shared" ref="D58:H58" si="7">+D47+D53</f>
        <v>0</v>
      </c>
      <c r="E58">
        <f t="shared" si="7"/>
        <v>0</v>
      </c>
      <c r="F58">
        <f t="shared" si="7"/>
        <v>0</v>
      </c>
      <c r="G58">
        <f t="shared" si="7"/>
        <v>0</v>
      </c>
      <c r="H58">
        <f t="shared" si="7"/>
        <v>0</v>
      </c>
      <c r="I58">
        <v>160662450</v>
      </c>
      <c r="J58">
        <v>189363103</v>
      </c>
      <c r="K58">
        <v>214302528</v>
      </c>
      <c r="L58">
        <v>245757381</v>
      </c>
      <c r="M58">
        <v>207183926</v>
      </c>
    </row>
    <row r="59" spans="1:15">
      <c r="B59" s="111" t="s">
        <v>201</v>
      </c>
      <c r="C59" s="24"/>
      <c r="D59">
        <f t="shared" ref="D59:H59" si="8">+D48+D54</f>
        <v>0</v>
      </c>
      <c r="E59">
        <f t="shared" si="8"/>
        <v>0</v>
      </c>
      <c r="F59">
        <f t="shared" si="8"/>
        <v>0</v>
      </c>
      <c r="G59">
        <f t="shared" si="8"/>
        <v>0</v>
      </c>
      <c r="H59">
        <f t="shared" si="8"/>
        <v>0</v>
      </c>
      <c r="I59">
        <v>347469666</v>
      </c>
      <c r="J59">
        <v>335789416</v>
      </c>
      <c r="K59">
        <v>343898914</v>
      </c>
      <c r="L59">
        <v>337046199</v>
      </c>
      <c r="M59">
        <v>309632315</v>
      </c>
    </row>
    <row r="60" spans="1:15">
      <c r="B60" s="111" t="s">
        <v>160</v>
      </c>
      <c r="C60" s="24"/>
      <c r="D60">
        <f t="shared" ref="D60:H60" si="9">+D59-D58</f>
        <v>0</v>
      </c>
      <c r="E60">
        <f t="shared" si="9"/>
        <v>0</v>
      </c>
      <c r="F60">
        <f t="shared" si="9"/>
        <v>0</v>
      </c>
      <c r="G60">
        <f t="shared" si="9"/>
        <v>0</v>
      </c>
      <c r="H60">
        <f t="shared" si="9"/>
        <v>0</v>
      </c>
      <c r="I60">
        <v>186807216</v>
      </c>
      <c r="J60">
        <v>146426313</v>
      </c>
      <c r="K60">
        <v>129596386</v>
      </c>
      <c r="L60">
        <v>91288818</v>
      </c>
      <c r="M60">
        <v>102448389</v>
      </c>
      <c r="N60">
        <v>1253.24</v>
      </c>
      <c r="O60" s="108">
        <v>1443.26</v>
      </c>
    </row>
    <row r="61" spans="1:15">
      <c r="B61" t="s">
        <v>154</v>
      </c>
      <c r="C61" s="112"/>
      <c r="D61" s="113" t="e">
        <f t="shared" ref="D61:H61" si="10">+D58/D59</f>
        <v>#DIV/0!</v>
      </c>
      <c r="E61" s="113" t="e">
        <f t="shared" si="10"/>
        <v>#DIV/0!</v>
      </c>
      <c r="F61" s="113" t="e">
        <f t="shared" si="10"/>
        <v>#DIV/0!</v>
      </c>
      <c r="G61" s="113" t="e">
        <f t="shared" si="10"/>
        <v>#DIV/0!</v>
      </c>
      <c r="H61" s="113" t="e">
        <f t="shared" si="10"/>
        <v>#DIV/0!</v>
      </c>
      <c r="I61" s="114">
        <v>0.46237834758214547</v>
      </c>
      <c r="J61" s="114">
        <v>0.563934102675827</v>
      </c>
      <c r="K61" s="114">
        <v>0.62315558228253087</v>
      </c>
      <c r="L61" s="114">
        <v>0.72915043020556358</v>
      </c>
      <c r="M61" s="114">
        <v>0.66912888598207199</v>
      </c>
      <c r="N61" s="115"/>
      <c r="O61" s="115"/>
    </row>
    <row r="63" spans="1:15">
      <c r="A63" s="12"/>
      <c r="D63" s="12"/>
      <c r="E63" s="12"/>
      <c r="F63" s="12"/>
      <c r="G63" s="12"/>
      <c r="H63" s="12"/>
      <c r="I63" s="12"/>
      <c r="J63" s="12"/>
      <c r="K63" s="12"/>
      <c r="L63" s="12"/>
      <c r="M63" s="12"/>
    </row>
    <row r="64" spans="1:15">
      <c r="A64" s="12" t="s">
        <v>159</v>
      </c>
      <c r="B64" s="12"/>
      <c r="C64" s="24"/>
    </row>
    <row r="65" spans="1:15">
      <c r="A65" s="116" t="s">
        <v>251</v>
      </c>
      <c r="B65" s="12"/>
      <c r="C65" s="26" t="s">
        <v>250</v>
      </c>
      <c r="D65" s="15"/>
      <c r="E65" s="15"/>
      <c r="F65" s="15"/>
      <c r="G65" s="15"/>
      <c r="H65" s="15"/>
      <c r="I65" s="12">
        <v>860568</v>
      </c>
      <c r="J65" s="12">
        <v>566924</v>
      </c>
      <c r="K65" s="12">
        <v>265457</v>
      </c>
      <c r="L65" s="12">
        <v>0</v>
      </c>
      <c r="M65" s="12">
        <v>0</v>
      </c>
    </row>
    <row r="66" spans="1:15">
      <c r="A66" s="116" t="s">
        <v>176</v>
      </c>
      <c r="B66" s="12"/>
      <c r="C66" s="26" t="s">
        <v>249</v>
      </c>
      <c r="D66" s="15"/>
      <c r="E66" s="15"/>
      <c r="F66" s="15"/>
      <c r="G66" s="15"/>
      <c r="H66" s="15"/>
      <c r="I66" s="12">
        <v>0</v>
      </c>
      <c r="J66" s="12">
        <v>0</v>
      </c>
      <c r="K66" s="12">
        <v>0</v>
      </c>
      <c r="L66" s="12">
        <v>0</v>
      </c>
      <c r="M66" s="12">
        <v>0</v>
      </c>
    </row>
    <row r="67" spans="1:15">
      <c r="A67" s="116" t="s">
        <v>177</v>
      </c>
      <c r="B67" s="12"/>
      <c r="C67" s="26"/>
      <c r="D67" s="15"/>
      <c r="E67" s="15"/>
      <c r="F67" s="15"/>
      <c r="G67" s="15"/>
      <c r="H67" s="15"/>
      <c r="I67" s="12">
        <v>0</v>
      </c>
      <c r="J67" s="12">
        <v>0</v>
      </c>
      <c r="K67" s="12">
        <v>0</v>
      </c>
      <c r="L67" s="12">
        <v>0</v>
      </c>
      <c r="M67" s="12">
        <v>0</v>
      </c>
    </row>
    <row r="68" spans="1:15">
      <c r="A68" s="117" t="s">
        <v>161</v>
      </c>
      <c r="B68" s="13"/>
      <c r="C68" s="24"/>
      <c r="D68" s="9">
        <f t="shared" ref="D68:H68" si="11">SUM(D64:D67)</f>
        <v>0</v>
      </c>
      <c r="E68" s="9">
        <f t="shared" si="11"/>
        <v>0</v>
      </c>
      <c r="F68" s="9">
        <f t="shared" si="11"/>
        <v>0</v>
      </c>
      <c r="G68" s="9">
        <f t="shared" si="11"/>
        <v>0</v>
      </c>
      <c r="H68" s="9">
        <f t="shared" si="11"/>
        <v>0</v>
      </c>
      <c r="I68" s="9">
        <v>860568</v>
      </c>
      <c r="J68" s="9">
        <v>566924</v>
      </c>
      <c r="K68" s="9">
        <v>265457</v>
      </c>
      <c r="L68" s="9">
        <v>0</v>
      </c>
      <c r="M68" s="9">
        <v>0</v>
      </c>
      <c r="N68">
        <v>0</v>
      </c>
      <c r="O68" s="108">
        <v>0</v>
      </c>
    </row>
    <row r="69" spans="1:15">
      <c r="A69" s="12" t="s">
        <v>156</v>
      </c>
      <c r="B69" s="12"/>
      <c r="C69" s="26" t="s">
        <v>376</v>
      </c>
      <c r="D69" s="15"/>
      <c r="E69" s="15"/>
      <c r="F69" s="15"/>
      <c r="G69" s="15"/>
      <c r="H69" s="15"/>
      <c r="I69" s="12">
        <v>2672171</v>
      </c>
      <c r="J69" s="12">
        <v>2699185</v>
      </c>
      <c r="K69" s="12">
        <v>2909724</v>
      </c>
      <c r="L69" s="12">
        <v>2623981</v>
      </c>
      <c r="M69" s="127">
        <v>2489488</v>
      </c>
      <c r="N69">
        <v>36.020000000000003</v>
      </c>
      <c r="O69" s="108">
        <v>35.07</v>
      </c>
    </row>
    <row r="70" spans="1:15" hidden="1">
      <c r="A70" s="12" t="s">
        <v>155</v>
      </c>
      <c r="B70" s="12"/>
      <c r="C70" s="26" t="s">
        <v>248</v>
      </c>
      <c r="D70" s="15"/>
      <c r="E70" s="15"/>
      <c r="F70" s="15"/>
      <c r="G70" s="15"/>
      <c r="H70" s="15"/>
      <c r="I70" s="12"/>
      <c r="J70" s="12">
        <v>0</v>
      </c>
      <c r="K70" s="12">
        <v>0</v>
      </c>
      <c r="L70" s="12">
        <v>0</v>
      </c>
      <c r="M70" s="128">
        <v>0</v>
      </c>
      <c r="N70">
        <v>0</v>
      </c>
      <c r="O70" s="108">
        <v>0</v>
      </c>
    </row>
    <row r="71" spans="1:15" hidden="1">
      <c r="A71" s="12" t="s">
        <v>157</v>
      </c>
      <c r="B71" s="12"/>
      <c r="C71" s="26" t="s">
        <v>247</v>
      </c>
      <c r="D71" s="15"/>
      <c r="E71" s="15"/>
      <c r="F71" s="15"/>
      <c r="G71" s="15"/>
      <c r="H71" s="15"/>
      <c r="I71" s="12"/>
      <c r="J71" s="12">
        <v>0</v>
      </c>
      <c r="K71" s="12">
        <v>0</v>
      </c>
      <c r="L71" s="12">
        <v>0</v>
      </c>
      <c r="M71" s="128">
        <v>0</v>
      </c>
      <c r="N71">
        <v>0</v>
      </c>
      <c r="O71" s="108">
        <v>0</v>
      </c>
    </row>
    <row r="72" spans="1:15">
      <c r="A72" s="12" t="s">
        <v>158</v>
      </c>
      <c r="B72" s="12"/>
      <c r="C72" s="26" t="s">
        <v>246</v>
      </c>
      <c r="D72" s="15"/>
      <c r="E72" s="15"/>
      <c r="F72" s="15"/>
      <c r="G72" s="15"/>
      <c r="H72" s="15"/>
      <c r="I72" s="12">
        <v>1019615</v>
      </c>
      <c r="J72" s="12">
        <v>1003240</v>
      </c>
      <c r="K72" s="12">
        <v>1045284</v>
      </c>
      <c r="L72" s="12">
        <v>981274</v>
      </c>
      <c r="M72" s="127">
        <v>731507</v>
      </c>
      <c r="N72">
        <v>13.47</v>
      </c>
      <c r="O72" s="108">
        <v>10.31</v>
      </c>
    </row>
    <row r="73" spans="1:15" ht="15" thickBot="1">
      <c r="A73" s="12"/>
      <c r="B73" s="12" t="s">
        <v>252</v>
      </c>
      <c r="C73" s="24"/>
      <c r="D73" s="5">
        <f t="shared" ref="D73:H73" si="12">SUM(D68:D72)</f>
        <v>0</v>
      </c>
      <c r="E73" s="5">
        <f t="shared" si="12"/>
        <v>0</v>
      </c>
      <c r="F73" s="5">
        <f t="shared" si="12"/>
        <v>0</v>
      </c>
      <c r="G73" s="5">
        <f t="shared" si="12"/>
        <v>0</v>
      </c>
      <c r="H73" s="5">
        <f t="shared" si="12"/>
        <v>0</v>
      </c>
      <c r="I73" s="5">
        <v>4552354</v>
      </c>
      <c r="J73" s="5">
        <v>4269349</v>
      </c>
      <c r="K73" s="5">
        <v>4220465</v>
      </c>
      <c r="L73" s="5">
        <v>3605255</v>
      </c>
      <c r="M73" s="5">
        <v>3220995</v>
      </c>
      <c r="N73">
        <v>49.49</v>
      </c>
      <c r="O73" s="108">
        <v>45.38</v>
      </c>
    </row>
    <row r="74" spans="1:15" ht="15" thickTop="1"/>
    <row r="75" spans="1:15">
      <c r="A75" s="10" t="s">
        <v>164</v>
      </c>
      <c r="B75" s="42"/>
      <c r="C75" s="26"/>
      <c r="D75" s="15"/>
      <c r="E75" s="15"/>
      <c r="F75" s="15"/>
      <c r="G75" s="15"/>
      <c r="H75" s="15"/>
      <c r="I75" s="15">
        <v>72948</v>
      </c>
      <c r="J75" s="15">
        <v>73142</v>
      </c>
      <c r="K75" s="15">
        <v>72976</v>
      </c>
      <c r="L75" s="15">
        <v>72842</v>
      </c>
      <c r="M75" s="15">
        <v>70984</v>
      </c>
    </row>
    <row r="77" spans="1:15">
      <c r="A77" s="10" t="s">
        <v>202</v>
      </c>
    </row>
    <row r="78" spans="1:15">
      <c r="A78" s="15" t="s">
        <v>319</v>
      </c>
      <c r="B78" s="21"/>
      <c r="C78" s="118"/>
      <c r="D78" s="21"/>
      <c r="E78" s="21"/>
      <c r="F78" s="21"/>
      <c r="G78" s="21"/>
      <c r="H78" s="21"/>
      <c r="I78" s="21"/>
      <c r="J78" s="21"/>
      <c r="K78" s="21"/>
      <c r="L78" s="21"/>
      <c r="M78" s="21"/>
    </row>
    <row r="85" spans="1:13">
      <c r="A85" s="119" t="s">
        <v>174</v>
      </c>
      <c r="B85" s="119"/>
      <c r="C85" s="120"/>
      <c r="D85" s="119"/>
      <c r="E85" s="119"/>
      <c r="F85" s="119"/>
      <c r="G85" s="119"/>
      <c r="H85" s="119"/>
      <c r="I85" s="119"/>
      <c r="J85" s="119"/>
      <c r="K85" s="119"/>
      <c r="L85" s="119"/>
      <c r="M85" s="119"/>
    </row>
    <row r="86" spans="1:13">
      <c r="A86" s="119" t="s">
        <v>172</v>
      </c>
      <c r="B86" s="121">
        <v>1</v>
      </c>
      <c r="C86" s="122"/>
      <c r="D86" s="123">
        <f t="shared" ref="D86:H86" si="13">+D2</f>
        <v>2013</v>
      </c>
      <c r="E86" s="123">
        <f t="shared" si="13"/>
        <v>2014</v>
      </c>
      <c r="F86" s="123">
        <f t="shared" si="13"/>
        <v>2015</v>
      </c>
      <c r="G86" s="123">
        <f t="shared" si="13"/>
        <v>2016</v>
      </c>
      <c r="H86" s="123">
        <f t="shared" si="13"/>
        <v>2017</v>
      </c>
      <c r="I86" s="133">
        <v>2018</v>
      </c>
      <c r="J86" s="133">
        <v>2019</v>
      </c>
      <c r="K86" s="133">
        <v>2020</v>
      </c>
      <c r="L86" s="133">
        <v>2021</v>
      </c>
      <c r="M86" s="133">
        <v>2022</v>
      </c>
    </row>
    <row r="87" spans="1:13">
      <c r="A87" s="119"/>
      <c r="B87" s="121" t="str">
        <f>INDEX(B7:B18,B86)</f>
        <v>Taxes</v>
      </c>
      <c r="C87" s="124"/>
      <c r="D87" s="119">
        <f t="shared" ref="D87:H87" si="14">INDEX(D$7:D$18,$B$86)</f>
        <v>0</v>
      </c>
      <c r="E87" s="119">
        <f t="shared" si="14"/>
        <v>0</v>
      </c>
      <c r="F87" s="119">
        <f t="shared" si="14"/>
        <v>0</v>
      </c>
      <c r="G87" s="119">
        <f t="shared" si="14"/>
        <v>0</v>
      </c>
      <c r="H87" s="119">
        <f t="shared" si="14"/>
        <v>0</v>
      </c>
      <c r="I87">
        <f>INDEX(I$7:I$18,$B$86)</f>
        <v>23242014</v>
      </c>
      <c r="J87">
        <f>INDEX(J$7:J$18,$B$86)</f>
        <v>28647354</v>
      </c>
      <c r="K87">
        <f>INDEX(K$7:K$18,$B$86)</f>
        <v>29676669</v>
      </c>
      <c r="L87">
        <f>INDEX(L$7:L$18,$B$86)</f>
        <v>30948924</v>
      </c>
      <c r="M87">
        <f>INDEX(M$7:M$18,$B$86)</f>
        <v>31569832</v>
      </c>
    </row>
    <row r="88" spans="1:13">
      <c r="A88" s="119" t="s">
        <v>173</v>
      </c>
      <c r="B88" s="121">
        <v>1</v>
      </c>
      <c r="C88" s="124"/>
      <c r="D88" s="119"/>
      <c r="E88" s="119"/>
      <c r="F88" s="119"/>
      <c r="G88" s="119"/>
      <c r="H88" s="119"/>
      <c r="I88" s="119"/>
      <c r="J88" s="119"/>
      <c r="K88" s="119"/>
      <c r="L88" s="119"/>
      <c r="M88" s="119"/>
    </row>
    <row r="89" spans="1:13">
      <c r="A89" s="119"/>
      <c r="B89" s="121" t="str">
        <f>INDEX(B$20:B$31,$B$88)</f>
        <v>General government</v>
      </c>
      <c r="C89" s="124"/>
      <c r="D89" s="119">
        <f t="shared" ref="D89:M89" si="15">INDEX(D$20:D$31,$B$88)</f>
        <v>0</v>
      </c>
      <c r="E89" s="119">
        <f t="shared" si="15"/>
        <v>0</v>
      </c>
      <c r="F89" s="119">
        <f t="shared" si="15"/>
        <v>0</v>
      </c>
      <c r="G89" s="119">
        <f t="shared" si="15"/>
        <v>0</v>
      </c>
      <c r="H89" s="119">
        <f t="shared" si="15"/>
        <v>0</v>
      </c>
      <c r="I89">
        <f t="shared" si="15"/>
        <v>5822151</v>
      </c>
      <c r="J89">
        <f t="shared" si="15"/>
        <v>6344936</v>
      </c>
      <c r="K89">
        <f t="shared" si="15"/>
        <v>7041353</v>
      </c>
      <c r="L89">
        <f t="shared" si="15"/>
        <v>6593142</v>
      </c>
      <c r="M89">
        <f t="shared" si="15"/>
        <v>8021885</v>
      </c>
    </row>
    <row r="92" spans="1:13">
      <c r="B92" s="12" t="s">
        <v>227</v>
      </c>
    </row>
    <row r="93" spans="1:13">
      <c r="B93" t="s">
        <v>231</v>
      </c>
      <c r="C93" s="26" t="s">
        <v>232</v>
      </c>
      <c r="I93" s="15"/>
      <c r="J93" s="15">
        <v>0</v>
      </c>
      <c r="K93" s="15">
        <v>0</v>
      </c>
      <c r="L93" s="15">
        <v>0</v>
      </c>
      <c r="M93" s="12">
        <v>0</v>
      </c>
    </row>
    <row r="94" spans="1:13">
      <c r="B94" t="s">
        <v>229</v>
      </c>
      <c r="C94" s="26" t="s">
        <v>233</v>
      </c>
      <c r="I94" s="15">
        <v>0</v>
      </c>
      <c r="J94" s="15">
        <v>0</v>
      </c>
      <c r="K94" s="15">
        <v>0</v>
      </c>
      <c r="L94" s="15">
        <v>0</v>
      </c>
      <c r="M94" s="12">
        <v>0</v>
      </c>
    </row>
    <row r="95" spans="1:13">
      <c r="B95" t="s">
        <v>337</v>
      </c>
      <c r="C95" s="26" t="s">
        <v>372</v>
      </c>
      <c r="I95" s="15">
        <v>13467</v>
      </c>
      <c r="J95" s="15">
        <v>235149</v>
      </c>
      <c r="K95" s="15">
        <v>34821</v>
      </c>
      <c r="L95" s="15">
        <v>19203</v>
      </c>
      <c r="M95" s="12">
        <v>11835</v>
      </c>
    </row>
    <row r="96" spans="1:13">
      <c r="B96" t="s">
        <v>230</v>
      </c>
      <c r="C96" s="26" t="s">
        <v>234</v>
      </c>
      <c r="I96" s="15">
        <v>0</v>
      </c>
      <c r="J96" s="15">
        <v>0</v>
      </c>
      <c r="K96" s="15">
        <v>0</v>
      </c>
      <c r="L96" s="15">
        <v>0</v>
      </c>
      <c r="M96" s="12">
        <v>0</v>
      </c>
    </row>
    <row r="97" spans="2:13" ht="15" thickBot="1">
      <c r="B97" s="28" t="s">
        <v>238</v>
      </c>
      <c r="I97" s="5">
        <v>13467</v>
      </c>
      <c r="J97" s="5">
        <v>235149</v>
      </c>
      <c r="K97" s="5">
        <v>34821</v>
      </c>
      <c r="L97" s="5">
        <v>19203</v>
      </c>
      <c r="M97" s="5">
        <v>11835</v>
      </c>
    </row>
    <row r="98" spans="2:13" ht="15" thickTop="1"/>
    <row r="99" spans="2:13">
      <c r="B99" t="s">
        <v>235</v>
      </c>
    </row>
    <row r="100" spans="2:13">
      <c r="B100" t="s">
        <v>236</v>
      </c>
      <c r="C100" s="26" t="s">
        <v>374</v>
      </c>
      <c r="I100" s="15">
        <v>9202500</v>
      </c>
      <c r="J100" s="15">
        <v>17607398</v>
      </c>
      <c r="K100" s="15">
        <v>15138190</v>
      </c>
      <c r="L100" s="15">
        <v>15979140</v>
      </c>
      <c r="M100" s="12">
        <v>16196422</v>
      </c>
    </row>
    <row r="101" spans="2:13">
      <c r="B101" t="s">
        <v>237</v>
      </c>
      <c r="C101" s="26" t="s">
        <v>375</v>
      </c>
      <c r="I101" s="15">
        <v>-9202500</v>
      </c>
      <c r="J101" s="15">
        <v>-17607398</v>
      </c>
      <c r="K101" s="15">
        <v>-15138190</v>
      </c>
      <c r="L101" s="15">
        <v>-15979140</v>
      </c>
      <c r="M101" s="12">
        <v>-16196422</v>
      </c>
    </row>
    <row r="102" spans="2:13" ht="15" thickBot="1">
      <c r="B102" s="3" t="s">
        <v>238</v>
      </c>
      <c r="I102" s="5">
        <v>0</v>
      </c>
      <c r="J102" s="5">
        <v>0</v>
      </c>
      <c r="K102" s="5">
        <v>0</v>
      </c>
      <c r="L102" s="5">
        <v>0</v>
      </c>
      <c r="M102" s="5">
        <v>0</v>
      </c>
    </row>
    <row r="103" spans="2:13" ht="15" thickTop="1"/>
    <row r="105" spans="2:13" hidden="1">
      <c r="B105" t="s">
        <v>299</v>
      </c>
    </row>
    <row r="106" spans="2:13" hidden="1">
      <c r="B106" t="s">
        <v>241</v>
      </c>
      <c r="C106" s="26" t="s">
        <v>293</v>
      </c>
      <c r="I106" s="12">
        <v>68599</v>
      </c>
      <c r="J106" s="12">
        <v>1085264</v>
      </c>
      <c r="K106" s="12">
        <v>1020831</v>
      </c>
      <c r="L106" s="12">
        <v>716358</v>
      </c>
      <c r="M106" s="125">
        <v>721765</v>
      </c>
    </row>
    <row r="107" spans="2:13" hidden="1">
      <c r="B107" t="s">
        <v>279</v>
      </c>
      <c r="C107" s="26" t="s">
        <v>293</v>
      </c>
      <c r="I107" s="12">
        <v>68599</v>
      </c>
      <c r="J107" s="12">
        <v>1085264</v>
      </c>
      <c r="K107" s="12">
        <v>1020831</v>
      </c>
      <c r="L107" s="12">
        <v>716358</v>
      </c>
      <c r="M107" s="125">
        <v>721765</v>
      </c>
    </row>
    <row r="108" spans="2:13" hidden="1">
      <c r="B108" t="s">
        <v>242</v>
      </c>
      <c r="C108" s="26" t="s">
        <v>293</v>
      </c>
      <c r="I108" s="12">
        <v>68599</v>
      </c>
      <c r="J108" s="12">
        <v>1085264</v>
      </c>
      <c r="K108" s="12">
        <v>1020831</v>
      </c>
      <c r="L108" s="12">
        <v>716358</v>
      </c>
      <c r="M108" s="125">
        <v>721765</v>
      </c>
    </row>
    <row r="109" spans="2:13" hidden="1">
      <c r="B109" t="s">
        <v>243</v>
      </c>
      <c r="C109" s="26" t="s">
        <v>293</v>
      </c>
      <c r="I109" s="12">
        <v>68599</v>
      </c>
      <c r="J109" s="12">
        <v>1085264</v>
      </c>
      <c r="K109" s="12">
        <v>1020831</v>
      </c>
      <c r="L109" s="12">
        <v>716358</v>
      </c>
      <c r="M109" s="125">
        <v>721765</v>
      </c>
    </row>
    <row r="110" spans="2:13" hidden="1">
      <c r="B110" t="s">
        <v>244</v>
      </c>
      <c r="C110" s="26" t="s">
        <v>293</v>
      </c>
      <c r="I110" s="12">
        <v>68599</v>
      </c>
      <c r="J110" s="12">
        <v>1085264</v>
      </c>
      <c r="K110" s="12">
        <v>1020831</v>
      </c>
      <c r="L110" s="12">
        <v>716358</v>
      </c>
      <c r="M110" s="125">
        <v>721765</v>
      </c>
    </row>
    <row r="111" spans="2:13" ht="15" hidden="1" thickBot="1">
      <c r="I111" s="5">
        <v>342995</v>
      </c>
      <c r="J111" s="5">
        <v>5426320</v>
      </c>
      <c r="K111" s="5">
        <v>5104155</v>
      </c>
      <c r="L111" s="5">
        <v>3581790</v>
      </c>
      <c r="M111" s="5">
        <v>3608825</v>
      </c>
    </row>
    <row r="112" spans="2:13" ht="15" hidden="1" thickTop="1">
      <c r="B112" t="s">
        <v>300</v>
      </c>
    </row>
    <row r="113" spans="2:13" hidden="1">
      <c r="B113" t="s">
        <v>241</v>
      </c>
      <c r="C113" s="26" t="s">
        <v>294</v>
      </c>
      <c r="I113" s="12">
        <v>3651981</v>
      </c>
      <c r="J113" s="12">
        <v>3621487</v>
      </c>
      <c r="K113" s="12">
        <v>3603925</v>
      </c>
      <c r="L113" s="12">
        <v>3518219</v>
      </c>
      <c r="M113" s="125">
        <v>4001601</v>
      </c>
    </row>
    <row r="114" spans="2:13" hidden="1">
      <c r="B114" t="s">
        <v>279</v>
      </c>
      <c r="C114" s="26" t="s">
        <v>294</v>
      </c>
      <c r="I114" s="12">
        <v>3651981</v>
      </c>
      <c r="J114" s="12">
        <v>3621487</v>
      </c>
      <c r="K114" s="12">
        <v>3603925</v>
      </c>
      <c r="L114" s="12">
        <v>3518219</v>
      </c>
      <c r="M114" s="125">
        <v>4001601</v>
      </c>
    </row>
    <row r="115" spans="2:13" hidden="1">
      <c r="B115" t="s">
        <v>242</v>
      </c>
      <c r="C115" s="26" t="s">
        <v>294</v>
      </c>
      <c r="I115" s="12">
        <v>3651981</v>
      </c>
      <c r="J115" s="12">
        <v>3621487</v>
      </c>
      <c r="K115" s="12">
        <v>3603925</v>
      </c>
      <c r="L115" s="12">
        <v>3518219</v>
      </c>
      <c r="M115" s="125">
        <v>4001601</v>
      </c>
    </row>
    <row r="116" spans="2:13" hidden="1">
      <c r="B116" t="s">
        <v>243</v>
      </c>
      <c r="C116" s="26" t="s">
        <v>294</v>
      </c>
      <c r="I116" s="12">
        <v>3651981</v>
      </c>
      <c r="J116" s="12">
        <v>3621487</v>
      </c>
      <c r="K116" s="12">
        <v>3603925</v>
      </c>
      <c r="L116" s="12">
        <v>3518219</v>
      </c>
      <c r="M116" s="125">
        <v>4001601</v>
      </c>
    </row>
    <row r="117" spans="2:13" hidden="1">
      <c r="B117" t="s">
        <v>244</v>
      </c>
      <c r="C117" s="26" t="s">
        <v>294</v>
      </c>
      <c r="I117" s="12">
        <v>3651981</v>
      </c>
      <c r="J117" s="12">
        <v>3621487</v>
      </c>
      <c r="K117" s="12">
        <v>3603925</v>
      </c>
      <c r="L117" s="12">
        <v>3518219</v>
      </c>
      <c r="M117" s="125">
        <v>4001601</v>
      </c>
    </row>
    <row r="118" spans="2:13" ht="15" hidden="1" thickBot="1">
      <c r="I118" s="5">
        <v>18259905</v>
      </c>
      <c r="J118" s="5">
        <v>18107435</v>
      </c>
      <c r="K118" s="5">
        <v>18019625</v>
      </c>
      <c r="L118" s="5">
        <v>17591095</v>
      </c>
      <c r="M118" s="5">
        <v>20008005</v>
      </c>
    </row>
    <row r="119" spans="2:13" ht="15" hidden="1" thickTop="1">
      <c r="B119" t="s">
        <v>301</v>
      </c>
    </row>
    <row r="120" spans="2:13" hidden="1">
      <c r="B120" t="s">
        <v>241</v>
      </c>
      <c r="C120" s="26" t="s">
        <v>295</v>
      </c>
      <c r="I120" s="12">
        <v>4124436</v>
      </c>
      <c r="J120" s="12">
        <v>6796119</v>
      </c>
      <c r="K120" s="12">
        <v>9122136</v>
      </c>
      <c r="L120" s="12">
        <v>11689819</v>
      </c>
      <c r="M120" s="125">
        <v>13021916</v>
      </c>
    </row>
    <row r="121" spans="2:13" hidden="1">
      <c r="B121" t="s">
        <v>279</v>
      </c>
      <c r="C121" s="26" t="s">
        <v>295</v>
      </c>
      <c r="I121" s="12">
        <v>4124436</v>
      </c>
      <c r="J121" s="12">
        <v>6796119</v>
      </c>
      <c r="K121" s="12">
        <v>9122136</v>
      </c>
      <c r="L121" s="12">
        <v>11689819</v>
      </c>
      <c r="M121" s="125">
        <v>13021916</v>
      </c>
    </row>
    <row r="122" spans="2:13" hidden="1">
      <c r="B122" t="s">
        <v>242</v>
      </c>
      <c r="C122" s="26" t="s">
        <v>295</v>
      </c>
      <c r="I122" s="12">
        <v>4124436</v>
      </c>
      <c r="J122" s="12">
        <v>6796119</v>
      </c>
      <c r="K122" s="12">
        <v>9122136</v>
      </c>
      <c r="L122" s="12">
        <v>11689819</v>
      </c>
      <c r="M122" s="125">
        <v>13021916</v>
      </c>
    </row>
    <row r="123" spans="2:13" hidden="1">
      <c r="B123" t="s">
        <v>243</v>
      </c>
      <c r="C123" s="26" t="s">
        <v>295</v>
      </c>
      <c r="I123" s="12">
        <v>4124436</v>
      </c>
      <c r="J123" s="12">
        <v>6796119</v>
      </c>
      <c r="K123" s="12">
        <v>9122136</v>
      </c>
      <c r="L123" s="12">
        <v>11689819</v>
      </c>
      <c r="M123" s="125">
        <v>13021916</v>
      </c>
    </row>
    <row r="124" spans="2:13" hidden="1">
      <c r="B124" t="s">
        <v>244</v>
      </c>
      <c r="C124" s="26" t="s">
        <v>295</v>
      </c>
      <c r="I124" s="12">
        <v>4124436</v>
      </c>
      <c r="J124" s="12">
        <v>6796119</v>
      </c>
      <c r="K124" s="12">
        <v>9122136</v>
      </c>
      <c r="L124" s="12">
        <v>11689819</v>
      </c>
      <c r="M124" s="125">
        <v>13021916</v>
      </c>
    </row>
    <row r="125" spans="2:13" ht="15" hidden="1" thickBot="1">
      <c r="I125" s="5">
        <v>20622180</v>
      </c>
      <c r="J125" s="5">
        <v>33980595</v>
      </c>
      <c r="K125" s="5">
        <v>45610680</v>
      </c>
      <c r="L125" s="5">
        <v>58449095</v>
      </c>
      <c r="M125" s="5">
        <v>65109580</v>
      </c>
    </row>
    <row r="126" spans="2:13" ht="15" hidden="1" thickTop="1">
      <c r="B126" t="s">
        <v>302</v>
      </c>
    </row>
    <row r="127" spans="2:13" hidden="1">
      <c r="B127" t="s">
        <v>241</v>
      </c>
      <c r="C127" s="26" t="s">
        <v>296</v>
      </c>
      <c r="I127" s="12">
        <v>11249821</v>
      </c>
      <c r="J127" s="12">
        <v>13578378</v>
      </c>
      <c r="K127" s="12">
        <v>13942511</v>
      </c>
      <c r="L127" s="12">
        <v>14929924</v>
      </c>
      <c r="M127" s="125">
        <v>16540653</v>
      </c>
    </row>
    <row r="128" spans="2:13" hidden="1">
      <c r="B128" t="s">
        <v>279</v>
      </c>
      <c r="C128" s="26" t="s">
        <v>296</v>
      </c>
      <c r="I128" s="12">
        <v>11249821</v>
      </c>
      <c r="J128" s="12">
        <v>13578378</v>
      </c>
      <c r="K128" s="12">
        <v>13942511</v>
      </c>
      <c r="L128" s="12">
        <v>14929924</v>
      </c>
      <c r="M128" s="125">
        <v>16540653</v>
      </c>
    </row>
    <row r="129" spans="1:13" hidden="1">
      <c r="B129" t="s">
        <v>242</v>
      </c>
      <c r="C129" s="26" t="s">
        <v>296</v>
      </c>
      <c r="I129" s="12">
        <v>11249821</v>
      </c>
      <c r="J129" s="12">
        <v>13578378</v>
      </c>
      <c r="K129" s="12">
        <v>13942511</v>
      </c>
      <c r="L129" s="12">
        <v>14929924</v>
      </c>
      <c r="M129" s="125">
        <v>16540653</v>
      </c>
    </row>
    <row r="130" spans="1:13" hidden="1">
      <c r="B130" t="s">
        <v>243</v>
      </c>
      <c r="C130" s="26" t="s">
        <v>296</v>
      </c>
      <c r="I130" s="12">
        <v>11249821</v>
      </c>
      <c r="J130" s="12">
        <v>13578378</v>
      </c>
      <c r="K130" s="12">
        <v>13942511</v>
      </c>
      <c r="L130" s="12">
        <v>14929924</v>
      </c>
      <c r="M130" s="125">
        <v>16540653</v>
      </c>
    </row>
    <row r="131" spans="1:13" hidden="1">
      <c r="B131" t="s">
        <v>244</v>
      </c>
      <c r="C131" s="26" t="s">
        <v>296</v>
      </c>
      <c r="I131" s="12">
        <v>11249821</v>
      </c>
      <c r="J131" s="12">
        <v>13578378</v>
      </c>
      <c r="K131" s="12">
        <v>13942511</v>
      </c>
      <c r="L131" s="12">
        <v>14929924</v>
      </c>
      <c r="M131" s="125">
        <v>16540653</v>
      </c>
    </row>
    <row r="132" spans="1:13" ht="15" hidden="1" thickBot="1">
      <c r="I132" s="5">
        <v>56249105</v>
      </c>
      <c r="J132" s="5">
        <v>67891890</v>
      </c>
      <c r="K132" s="5">
        <v>69712555</v>
      </c>
      <c r="L132" s="5">
        <v>74649620</v>
      </c>
      <c r="M132" s="5">
        <v>82703265</v>
      </c>
    </row>
    <row r="133" spans="1:13" ht="15" hidden="1" thickTop="1">
      <c r="B133" t="s">
        <v>303</v>
      </c>
    </row>
    <row r="134" spans="1:13" hidden="1">
      <c r="B134" t="s">
        <v>241</v>
      </c>
      <c r="C134" s="26" t="s">
        <v>297</v>
      </c>
      <c r="I134" s="12">
        <v>7607096</v>
      </c>
      <c r="J134" s="12">
        <v>8532520</v>
      </c>
      <c r="K134" s="12">
        <v>10891425</v>
      </c>
      <c r="L134" s="12">
        <v>11867889</v>
      </c>
      <c r="M134" s="125">
        <v>12653726</v>
      </c>
    </row>
    <row r="135" spans="1:13" hidden="1">
      <c r="B135" t="s">
        <v>279</v>
      </c>
      <c r="C135" s="26" t="s">
        <v>297</v>
      </c>
      <c r="I135" s="12">
        <v>7607096</v>
      </c>
      <c r="J135" s="12">
        <v>8532520</v>
      </c>
      <c r="K135" s="12">
        <v>10891425</v>
      </c>
      <c r="L135" s="12">
        <v>11867889</v>
      </c>
      <c r="M135" s="125">
        <v>12653726</v>
      </c>
    </row>
    <row r="136" spans="1:13" hidden="1">
      <c r="B136" t="s">
        <v>242</v>
      </c>
      <c r="C136" s="26" t="s">
        <v>297</v>
      </c>
      <c r="I136" s="12">
        <v>7607096</v>
      </c>
      <c r="J136" s="12">
        <v>8532520</v>
      </c>
      <c r="K136" s="12">
        <v>10891425</v>
      </c>
      <c r="L136" s="12">
        <v>11867889</v>
      </c>
      <c r="M136" s="125">
        <v>12653726</v>
      </c>
    </row>
    <row r="137" spans="1:13" hidden="1">
      <c r="B137" t="s">
        <v>243</v>
      </c>
      <c r="C137" s="26" t="s">
        <v>297</v>
      </c>
      <c r="I137" s="12">
        <v>7607096</v>
      </c>
      <c r="J137" s="12">
        <v>8532520</v>
      </c>
      <c r="K137" s="12">
        <v>10891425</v>
      </c>
      <c r="L137" s="12">
        <v>11867889</v>
      </c>
      <c r="M137" s="125">
        <v>12653726</v>
      </c>
    </row>
    <row r="138" spans="1:13" hidden="1">
      <c r="B138" t="s">
        <v>244</v>
      </c>
      <c r="C138" s="26" t="s">
        <v>297</v>
      </c>
      <c r="I138" s="12">
        <v>7607096</v>
      </c>
      <c r="J138" s="12">
        <v>8532520</v>
      </c>
      <c r="K138" s="12">
        <v>10891425</v>
      </c>
      <c r="L138" s="12">
        <v>11867889</v>
      </c>
      <c r="M138" s="125">
        <v>12653726</v>
      </c>
    </row>
    <row r="139" spans="1:13" ht="15" hidden="1" thickBot="1">
      <c r="I139" s="5">
        <v>38035480</v>
      </c>
      <c r="J139" s="5">
        <v>42662600</v>
      </c>
      <c r="K139" s="5">
        <v>54457125</v>
      </c>
      <c r="L139" s="5">
        <v>59339445</v>
      </c>
      <c r="M139" s="5">
        <v>63268630</v>
      </c>
    </row>
    <row r="140" spans="1:13" ht="15" hidden="1" thickTop="1"/>
    <row r="141" spans="1:13">
      <c r="A141" s="10" t="s">
        <v>168</v>
      </c>
    </row>
    <row r="142" spans="1:13">
      <c r="A142" t="s">
        <v>253</v>
      </c>
      <c r="B142" s="17" t="s">
        <v>255</v>
      </c>
      <c r="I142" s="126"/>
      <c r="J142" s="130">
        <v>43830</v>
      </c>
      <c r="K142" s="130">
        <v>44196</v>
      </c>
      <c r="L142" s="130">
        <v>44561</v>
      </c>
      <c r="M142" s="130">
        <v>44926</v>
      </c>
    </row>
    <row r="143" spans="1:13">
      <c r="B143" s="111" t="s">
        <v>153</v>
      </c>
      <c r="C143" s="26" t="s">
        <v>245</v>
      </c>
      <c r="D143" s="15"/>
      <c r="E143" s="15"/>
      <c r="F143" s="15"/>
      <c r="G143" s="15"/>
      <c r="H143" s="15"/>
      <c r="I143" s="15"/>
      <c r="J143" s="129">
        <v>100321017</v>
      </c>
      <c r="K143" s="129">
        <v>109095825</v>
      </c>
      <c r="L143" s="129">
        <v>122373663</v>
      </c>
      <c r="M143" s="129">
        <v>102931431</v>
      </c>
    </row>
    <row r="144" spans="1:13">
      <c r="B144" s="111" t="s">
        <v>201</v>
      </c>
      <c r="C144" s="26" t="s">
        <v>245</v>
      </c>
      <c r="D144" s="15"/>
      <c r="E144" s="15"/>
      <c r="F144" s="15"/>
      <c r="G144" s="15"/>
      <c r="H144" s="15"/>
      <c r="I144" s="15"/>
      <c r="J144" s="129">
        <v>113830744</v>
      </c>
      <c r="K144" s="129">
        <v>115771080</v>
      </c>
      <c r="L144" s="129">
        <v>118065743</v>
      </c>
      <c r="M144" s="129">
        <v>118827877</v>
      </c>
    </row>
    <row r="145" spans="1:13">
      <c r="A145" t="s">
        <v>338</v>
      </c>
      <c r="B145" s="17" t="s">
        <v>255</v>
      </c>
      <c r="I145" s="126"/>
      <c r="J145" s="130">
        <v>43830</v>
      </c>
      <c r="K145" s="130">
        <v>44196</v>
      </c>
      <c r="L145" s="130">
        <v>44561</v>
      </c>
      <c r="M145" s="130">
        <v>44926</v>
      </c>
    </row>
    <row r="146" spans="1:13">
      <c r="B146" s="111" t="s">
        <v>153</v>
      </c>
      <c r="C146" s="26" t="s">
        <v>245</v>
      </c>
      <c r="D146" s="15"/>
      <c r="E146" s="15"/>
      <c r="F146" s="15"/>
      <c r="G146" s="15"/>
      <c r="H146" s="15"/>
      <c r="I146" s="15"/>
      <c r="J146" s="129">
        <v>66889126</v>
      </c>
      <c r="K146" s="129">
        <v>74609520</v>
      </c>
      <c r="L146" s="129">
        <v>82303488</v>
      </c>
      <c r="M146" s="129">
        <v>64773687</v>
      </c>
    </row>
    <row r="147" spans="1:13">
      <c r="B147" s="111" t="s">
        <v>201</v>
      </c>
      <c r="C147" s="26" t="s">
        <v>245</v>
      </c>
      <c r="D147" s="15"/>
      <c r="E147" s="15"/>
      <c r="F147" s="15"/>
      <c r="G147" s="15"/>
      <c r="H147" s="15"/>
      <c r="I147" s="15"/>
      <c r="J147" s="129">
        <v>66761240</v>
      </c>
      <c r="K147" s="129">
        <v>67435518</v>
      </c>
      <c r="L147" s="129">
        <v>68191913</v>
      </c>
      <c r="M147" s="129">
        <v>70464566</v>
      </c>
    </row>
    <row r="148" spans="1:13">
      <c r="A148" t="s">
        <v>254</v>
      </c>
    </row>
    <row r="149" spans="1:13">
      <c r="B149" s="111" t="s">
        <v>153</v>
      </c>
      <c r="C149" s="24"/>
      <c r="D149" s="12"/>
      <c r="E149" s="12"/>
      <c r="F149" s="12"/>
      <c r="G149" s="12"/>
      <c r="H149" s="12"/>
      <c r="I149" s="12"/>
      <c r="J149" s="12"/>
      <c r="K149" s="12"/>
      <c r="L149" s="12">
        <v>204677151</v>
      </c>
      <c r="M149" s="12">
        <v>167705118</v>
      </c>
    </row>
    <row r="150" spans="1:13">
      <c r="B150" s="111" t="s">
        <v>201</v>
      </c>
      <c r="C150" s="24"/>
      <c r="D150" s="12"/>
      <c r="E150" s="12"/>
      <c r="F150" s="12"/>
      <c r="G150" s="12"/>
      <c r="H150" s="12"/>
      <c r="I150" s="12"/>
      <c r="J150" s="12"/>
      <c r="K150" s="12"/>
      <c r="L150" s="12">
        <v>186257656</v>
      </c>
      <c r="M150" s="12">
        <v>189292443</v>
      </c>
    </row>
    <row r="151" spans="1:13">
      <c r="B151" s="111"/>
      <c r="C151" s="24"/>
      <c r="D151" s="12"/>
      <c r="E151" s="12"/>
      <c r="F151" s="12"/>
      <c r="G151" s="12"/>
      <c r="H151" s="12"/>
      <c r="I151" s="12"/>
      <c r="J151" s="12"/>
      <c r="K151" s="12"/>
      <c r="L151" s="12"/>
      <c r="M151" s="12"/>
    </row>
    <row r="152" spans="1:13">
      <c r="A152" s="10" t="s">
        <v>169</v>
      </c>
      <c r="B152" s="111"/>
      <c r="C152" s="24"/>
      <c r="D152" s="12"/>
      <c r="E152" s="12"/>
      <c r="F152" s="12"/>
      <c r="G152" s="12"/>
      <c r="H152" s="12"/>
      <c r="I152" s="12"/>
      <c r="J152" s="12"/>
      <c r="K152" s="12"/>
      <c r="L152" s="12"/>
      <c r="M152" s="12"/>
    </row>
    <row r="153" spans="1:13">
      <c r="A153" t="s">
        <v>318</v>
      </c>
      <c r="B153" s="111"/>
      <c r="C153" s="24"/>
      <c r="D153" s="12"/>
      <c r="E153" s="12"/>
      <c r="F153" s="12"/>
      <c r="G153" s="12"/>
      <c r="H153" s="12"/>
      <c r="I153" s="12"/>
      <c r="J153" s="12"/>
      <c r="K153" s="12"/>
      <c r="L153" s="12"/>
      <c r="M153" s="12"/>
    </row>
    <row r="154" spans="1:13">
      <c r="B154" s="17" t="s">
        <v>255</v>
      </c>
      <c r="I154" s="131">
        <v>43465</v>
      </c>
      <c r="J154" s="131">
        <v>43830</v>
      </c>
      <c r="K154" s="131">
        <v>44196</v>
      </c>
      <c r="L154" s="131">
        <v>44561</v>
      </c>
      <c r="M154" s="131">
        <v>44926</v>
      </c>
    </row>
    <row r="155" spans="1:13">
      <c r="B155" s="111" t="s">
        <v>153</v>
      </c>
      <c r="C155" s="26" t="s">
        <v>245</v>
      </c>
      <c r="D155" s="15"/>
      <c r="E155" s="15"/>
      <c r="F155" s="15"/>
      <c r="G155" s="15"/>
      <c r="H155" s="15"/>
      <c r="I155" s="15">
        <v>14058032</v>
      </c>
      <c r="J155" s="15">
        <v>22152960</v>
      </c>
      <c r="K155" s="15">
        <v>30597183</v>
      </c>
      <c r="L155" s="15">
        <v>41080230</v>
      </c>
      <c r="M155" s="127">
        <v>39478808</v>
      </c>
    </row>
    <row r="156" spans="1:13">
      <c r="B156" s="111" t="s">
        <v>201</v>
      </c>
      <c r="C156" s="26" t="s">
        <v>245</v>
      </c>
      <c r="D156" s="15"/>
      <c r="E156" s="15"/>
      <c r="F156" s="15"/>
      <c r="G156" s="15"/>
      <c r="H156" s="15"/>
      <c r="I156" s="15">
        <v>168056281</v>
      </c>
      <c r="J156" s="15">
        <v>155197432</v>
      </c>
      <c r="K156" s="15">
        <v>160692316</v>
      </c>
      <c r="L156" s="15">
        <v>150788543</v>
      </c>
      <c r="M156" s="127">
        <v>120339872</v>
      </c>
    </row>
    <row r="157" spans="1:13" hidden="1">
      <c r="A157" t="s">
        <v>253</v>
      </c>
      <c r="B157" s="17" t="s">
        <v>255</v>
      </c>
    </row>
    <row r="158" spans="1:13" hidden="1">
      <c r="B158" s="111" t="s">
        <v>153</v>
      </c>
      <c r="C158" s="26" t="s">
        <v>245</v>
      </c>
      <c r="D158" s="15"/>
      <c r="E158" s="15"/>
      <c r="F158" s="15"/>
      <c r="G158" s="15"/>
      <c r="H158" s="15"/>
      <c r="I158" s="15"/>
      <c r="J158" s="15"/>
      <c r="K158" s="15"/>
      <c r="L158" s="15"/>
    </row>
    <row r="159" spans="1:13" hidden="1">
      <c r="B159" s="111" t="s">
        <v>201</v>
      </c>
      <c r="C159" s="26" t="s">
        <v>245</v>
      </c>
      <c r="D159" s="15"/>
      <c r="E159" s="15"/>
      <c r="F159" s="15"/>
      <c r="G159" s="15"/>
      <c r="H159" s="15"/>
      <c r="I159" s="15"/>
      <c r="J159" s="15">
        <v>0</v>
      </c>
      <c r="K159" s="15">
        <v>0</v>
      </c>
      <c r="L159" s="15">
        <v>0</v>
      </c>
    </row>
    <row r="160" spans="1:13" hidden="1">
      <c r="A160" t="s">
        <v>254</v>
      </c>
    </row>
    <row r="161" spans="2:13" hidden="1">
      <c r="B161" s="111" t="s">
        <v>153</v>
      </c>
      <c r="C161" s="24"/>
      <c r="D161" s="12"/>
      <c r="E161" s="12"/>
      <c r="F161" s="12"/>
      <c r="G161" s="12"/>
      <c r="H161" s="12"/>
      <c r="I161" s="12">
        <v>14058032</v>
      </c>
      <c r="J161" s="12">
        <v>22152960</v>
      </c>
      <c r="K161" s="12">
        <v>30597183</v>
      </c>
      <c r="L161" s="12">
        <v>41080230</v>
      </c>
      <c r="M161" s="12">
        <v>39478808</v>
      </c>
    </row>
    <row r="162" spans="2:13" hidden="1">
      <c r="B162" s="111" t="s">
        <v>201</v>
      </c>
      <c r="C162" s="24"/>
      <c r="D162" s="12"/>
      <c r="E162" s="12"/>
      <c r="F162" s="12"/>
      <c r="G162" s="12"/>
      <c r="H162" s="12"/>
      <c r="I162" s="12">
        <v>168056281</v>
      </c>
      <c r="J162" s="12">
        <v>155197432</v>
      </c>
      <c r="K162" s="12">
        <v>160692316</v>
      </c>
      <c r="L162" s="12">
        <v>150788543</v>
      </c>
      <c r="M162" s="12">
        <v>120339872</v>
      </c>
    </row>
  </sheetData>
  <sheetProtection formatCells="0" formatColumns="0" formatRows="0" insertColumns="0" insertRows="0" insertHyperlinks="0" deleteColumns="0" deleteRows="0" sort="0" autoFilter="0" pivotTables="0"/>
  <printOptions horizontalCentered="1"/>
  <pageMargins left="0.2" right="0.2" top="0.5" bottom="0.5" header="0.3" footer="0.3"/>
  <pageSetup fitToHeight="5" orientation="landscape"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0"/>
  <sheetViews>
    <sheetView tabSelected="1" zoomScale="85" zoomScaleNormal="85" workbookViewId="0">
      <selection activeCell="H4" sqref="H4"/>
    </sheetView>
  </sheetViews>
  <sheetFormatPr defaultColWidth="13.6640625" defaultRowHeight="14.4"/>
  <cols>
    <col min="1" max="5" width="13.6640625" style="140"/>
    <col min="6" max="6" width="22.44140625" style="140" customWidth="1"/>
    <col min="7" max="8" width="12.6640625" style="140" bestFit="1" customWidth="1"/>
    <col min="9" max="9" width="8.6640625" style="140" bestFit="1" customWidth="1"/>
    <col min="10" max="10" width="20.109375" style="140" customWidth="1"/>
  </cols>
  <sheetData>
    <row r="1" spans="1:10" ht="16.2">
      <c r="A1" s="139" t="str">
        <f>+'Data Input'!A1</f>
        <v>CITIZENS' GUIDE TO LOCAL UNIT FINANCES - Charter Township of Waterford</v>
      </c>
      <c r="E1" s="141"/>
      <c r="J1" s="142" t="s">
        <v>147</v>
      </c>
    </row>
    <row r="2" spans="1:10">
      <c r="A2" s="140" t="s">
        <v>178</v>
      </c>
      <c r="F2" s="140" t="s">
        <v>179</v>
      </c>
    </row>
    <row r="3" spans="1:10" ht="16.2">
      <c r="G3" s="143">
        <v>2021</v>
      </c>
      <c r="H3" s="143">
        <v>2022</v>
      </c>
      <c r="I3" s="143" t="s">
        <v>146</v>
      </c>
      <c r="J3" s="143"/>
    </row>
    <row r="4" spans="1:10">
      <c r="F4" s="140" t="s">
        <v>4</v>
      </c>
      <c r="G4" s="144">
        <v>30948924</v>
      </c>
      <c r="H4" s="144">
        <v>31569832</v>
      </c>
      <c r="I4" s="145">
        <f t="shared" ref="I4:I12" si="0">IF(G4=0,"n/a",(H4-G4)/G4)</f>
        <v>2.0062345301568481E-2</v>
      </c>
    </row>
    <row r="5" spans="1:10">
      <c r="F5" s="140" t="s">
        <v>215</v>
      </c>
      <c r="G5" s="144">
        <v>901237</v>
      </c>
      <c r="H5" s="140">
        <v>992605</v>
      </c>
      <c r="I5" s="145">
        <f t="shared" si="0"/>
        <v>0.10138065791795055</v>
      </c>
    </row>
    <row r="6" spans="1:10">
      <c r="F6" s="140" t="s">
        <v>281</v>
      </c>
      <c r="G6" s="144">
        <v>1063500</v>
      </c>
      <c r="H6" s="140">
        <v>1379799</v>
      </c>
      <c r="I6" s="145">
        <f t="shared" si="0"/>
        <v>0.29741325811001412</v>
      </c>
    </row>
    <row r="7" spans="1:10">
      <c r="F7" s="140" t="s">
        <v>282</v>
      </c>
      <c r="G7" s="144">
        <v>8444015</v>
      </c>
      <c r="H7" s="140">
        <v>8963946</v>
      </c>
      <c r="I7" s="145">
        <f t="shared" si="0"/>
        <v>6.1573907673067849E-2</v>
      </c>
    </row>
    <row r="8" spans="1:10">
      <c r="F8" s="140" t="s">
        <v>5</v>
      </c>
      <c r="G8" s="144">
        <v>12381995</v>
      </c>
      <c r="H8" s="140">
        <v>13062468</v>
      </c>
      <c r="I8" s="145">
        <f t="shared" si="0"/>
        <v>5.495665278495105E-2</v>
      </c>
    </row>
    <row r="9" spans="1:10">
      <c r="F9" s="140" t="s">
        <v>216</v>
      </c>
      <c r="G9" s="144">
        <v>1490579</v>
      </c>
      <c r="H9" s="140">
        <v>1398246</v>
      </c>
      <c r="I9" s="145">
        <f t="shared" si="0"/>
        <v>-6.1944385369712036E-2</v>
      </c>
    </row>
    <row r="10" spans="1:10">
      <c r="F10" s="140" t="s">
        <v>9</v>
      </c>
      <c r="G10" s="144">
        <v>847098</v>
      </c>
      <c r="H10" s="140">
        <v>897958</v>
      </c>
      <c r="I10" s="145">
        <f t="shared" si="0"/>
        <v>6.0040278692666017E-2</v>
      </c>
    </row>
    <row r="11" spans="1:10">
      <c r="F11" s="140" t="s">
        <v>78</v>
      </c>
      <c r="G11" s="144">
        <v>16146</v>
      </c>
      <c r="H11" s="140">
        <v>15845</v>
      </c>
      <c r="I11" s="145">
        <f t="shared" si="0"/>
        <v>-1.8642388207605599E-2</v>
      </c>
    </row>
    <row r="12" spans="1:10" ht="16.2">
      <c r="F12" s="140" t="s">
        <v>226</v>
      </c>
      <c r="G12" s="146">
        <v>2440546</v>
      </c>
      <c r="H12" s="147">
        <v>2985088</v>
      </c>
      <c r="I12" s="145">
        <f t="shared" si="0"/>
        <v>0.22312302247120111</v>
      </c>
    </row>
    <row r="13" spans="1:10" hidden="1">
      <c r="F13" s="140" t="s">
        <v>235</v>
      </c>
      <c r="G13" s="140">
        <v>0</v>
      </c>
      <c r="H13" s="140">
        <v>0</v>
      </c>
      <c r="I13" s="140" t="str">
        <f t="shared" ref="I13:I14" si="1">IF(G13=0,"n/a",(H13-G13)/G13)</f>
        <v>n/a</v>
      </c>
    </row>
    <row r="14" spans="1:10" ht="16.2" hidden="1">
      <c r="F14" s="140" t="s">
        <v>227</v>
      </c>
      <c r="G14" s="147"/>
      <c r="H14" s="147"/>
      <c r="I14" s="145" t="str">
        <f t="shared" si="1"/>
        <v>n/a</v>
      </c>
    </row>
    <row r="15" spans="1:10" ht="16.2">
      <c r="G15" s="148">
        <v>58534040</v>
      </c>
      <c r="H15" s="148">
        <v>61265787</v>
      </c>
      <c r="I15" s="149">
        <f>IF(G15=0,"n/a",(H15-G15)/G15)</f>
        <v>4.6669373923276095E-2</v>
      </c>
    </row>
    <row r="16" spans="1:10" ht="16.2">
      <c r="G16" s="148"/>
      <c r="H16" s="148"/>
      <c r="I16" s="149"/>
    </row>
    <row r="20" spans="1:6">
      <c r="A20" s="140" t="s">
        <v>180</v>
      </c>
      <c r="F20" s="140" t="s">
        <v>181</v>
      </c>
    </row>
    <row r="37" spans="1:1" ht="21.6" customHeight="1"/>
    <row r="38" spans="1:1" ht="21.6" customHeight="1"/>
    <row r="39" spans="1:1" ht="21.6" customHeight="1"/>
    <row r="40" spans="1:1">
      <c r="A40" s="140" t="str">
        <f>+'Data Input'!A78</f>
        <v>For more information on our Township's finances, contact Barbara Miller at bmiller@twp.waterford.mi.us</v>
      </c>
    </row>
  </sheetData>
  <sheetProtection algorithmName="SHA-512" hashValue="QXBdZC+VyPGlMhVHifB4wQlql5Bc9ZdJ318djloMxT/qoVzJjxLMtYKY2H+7SfLfRmGFY0cGhv3K9noNb531Bg==" saltValue="UxVwVmSx6UBN6kKH7VBiDA==" spinCount="100000" sheet="1" formatCells="0" formatColumns="0" formatRows="0" insertColumns="0" insertRows="0" deleteColumns="0" deleteRows="0"/>
  <printOptions horizontalCentered="1"/>
  <pageMargins left="0.2" right="0.2" top="0.5" bottom="0.5" header="0.3" footer="0.3"/>
  <pageSetup scale="92"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79" r:id="rId4" name="Drop Down 55">
              <controlPr defaultSize="0" autoLine="0" autoPict="0">
                <anchor moveWithCells="1">
                  <from>
                    <xdr:col>5</xdr:col>
                    <xdr:colOff>1181100</xdr:colOff>
                    <xdr:row>20</xdr:row>
                    <xdr:rowOff>7620</xdr:rowOff>
                  </from>
                  <to>
                    <xdr:col>7</xdr:col>
                    <xdr:colOff>640080</xdr:colOff>
                    <xdr:row>21</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zoomScale="85" zoomScaleNormal="85" workbookViewId="0">
      <selection activeCell="H4" sqref="H4"/>
    </sheetView>
  </sheetViews>
  <sheetFormatPr defaultColWidth="13.6640625" defaultRowHeight="14.4"/>
  <cols>
    <col min="1" max="1" width="11" style="140" customWidth="1"/>
    <col min="2" max="5" width="13.6640625" style="140"/>
    <col min="6" max="6" width="27.44140625" style="140" customWidth="1"/>
    <col min="7" max="8" width="13.6640625" style="140" bestFit="1" customWidth="1"/>
    <col min="9" max="9" width="9.33203125" style="140" customWidth="1"/>
    <col min="10" max="10" width="20" style="140" customWidth="1"/>
  </cols>
  <sheetData>
    <row r="1" spans="1:10">
      <c r="A1" s="139" t="str">
        <f>+'Data Input'!A1</f>
        <v>CITIZENS' GUIDE TO LOCAL UNIT FINANCES - Charter Township of Waterford</v>
      </c>
      <c r="J1" s="142" t="s">
        <v>70</v>
      </c>
    </row>
    <row r="2" spans="1:10">
      <c r="A2" s="140" t="s">
        <v>182</v>
      </c>
      <c r="F2" s="140" t="s">
        <v>179</v>
      </c>
    </row>
    <row r="3" spans="1:10" ht="16.2">
      <c r="G3" s="143">
        <v>2021</v>
      </c>
      <c r="H3" s="143">
        <v>2022</v>
      </c>
      <c r="I3" s="143" t="s">
        <v>146</v>
      </c>
      <c r="J3" s="143"/>
    </row>
    <row r="4" spans="1:10">
      <c r="F4" s="140" t="s">
        <v>27</v>
      </c>
      <c r="G4" s="150">
        <v>6593142</v>
      </c>
      <c r="H4" s="150">
        <v>8021885</v>
      </c>
      <c r="I4" s="149">
        <f t="shared" ref="I4:I14" si="0">IF(G4=0,"n/a",(H4-G4)/G4)</f>
        <v>0.21670138455989571</v>
      </c>
    </row>
    <row r="5" spans="1:10">
      <c r="F5" s="140" t="s">
        <v>314</v>
      </c>
      <c r="G5" s="140">
        <v>2623970</v>
      </c>
      <c r="H5" s="140">
        <v>2679214</v>
      </c>
      <c r="I5" s="149">
        <f t="shared" si="0"/>
        <v>2.1053594362740426E-2</v>
      </c>
    </row>
    <row r="6" spans="1:10">
      <c r="F6" s="140" t="s">
        <v>12</v>
      </c>
      <c r="G6" s="140">
        <v>34198210</v>
      </c>
      <c r="H6" s="140">
        <v>34557436</v>
      </c>
      <c r="I6" s="149">
        <f t="shared" si="0"/>
        <v>1.050423399353358E-2</v>
      </c>
    </row>
    <row r="7" spans="1:10">
      <c r="F7" s="140" t="s">
        <v>13</v>
      </c>
      <c r="G7" s="140">
        <v>1362625</v>
      </c>
      <c r="H7" s="140">
        <v>1440928</v>
      </c>
      <c r="I7" s="149">
        <f t="shared" si="0"/>
        <v>5.746481974130814E-2</v>
      </c>
    </row>
    <row r="8" spans="1:10" hidden="1">
      <c r="F8" s="140" t="s">
        <v>16</v>
      </c>
      <c r="I8" s="149" t="str">
        <f t="shared" si="0"/>
        <v>n/a</v>
      </c>
    </row>
    <row r="9" spans="1:10">
      <c r="F9" s="140" t="s">
        <v>20</v>
      </c>
      <c r="G9" s="140">
        <v>32882</v>
      </c>
      <c r="H9" s="140">
        <v>127453</v>
      </c>
      <c r="I9" s="149">
        <f t="shared" si="0"/>
        <v>2.8760720150842407</v>
      </c>
    </row>
    <row r="10" spans="1:10" hidden="1">
      <c r="F10" s="140" t="s">
        <v>17</v>
      </c>
      <c r="G10" s="140">
        <v>0</v>
      </c>
      <c r="H10" s="140">
        <v>0</v>
      </c>
      <c r="I10" s="149" t="str">
        <f t="shared" si="0"/>
        <v>n/a</v>
      </c>
    </row>
    <row r="11" spans="1:10">
      <c r="F11" s="140" t="s">
        <v>18</v>
      </c>
      <c r="G11" s="140">
        <v>2299651</v>
      </c>
      <c r="H11" s="140">
        <v>2110788</v>
      </c>
      <c r="I11" s="149">
        <f t="shared" si="0"/>
        <v>-8.2126809676772689E-2</v>
      </c>
    </row>
    <row r="12" spans="1:10">
      <c r="F12" s="140" t="s">
        <v>32</v>
      </c>
      <c r="G12" s="140">
        <v>3740494</v>
      </c>
      <c r="H12" s="140">
        <v>3864456</v>
      </c>
      <c r="I12" s="149">
        <f t="shared" si="0"/>
        <v>3.3140542398945164E-2</v>
      </c>
    </row>
    <row r="13" spans="1:10">
      <c r="F13" s="140" t="s">
        <v>21</v>
      </c>
      <c r="G13" s="140">
        <v>3690144</v>
      </c>
      <c r="H13" s="140">
        <v>3825005</v>
      </c>
      <c r="I13" s="149">
        <f t="shared" si="0"/>
        <v>3.6546270281051361E-2</v>
      </c>
    </row>
    <row r="14" spans="1:10">
      <c r="F14" s="140" t="s">
        <v>22</v>
      </c>
      <c r="G14" s="140">
        <v>272711</v>
      </c>
      <c r="H14" s="140">
        <v>0</v>
      </c>
      <c r="I14" s="149">
        <f t="shared" si="0"/>
        <v>-1</v>
      </c>
    </row>
    <row r="15" spans="1:10">
      <c r="F15" s="140" t="s">
        <v>24</v>
      </c>
      <c r="G15" s="140">
        <v>0</v>
      </c>
      <c r="H15" s="140">
        <v>0</v>
      </c>
      <c r="I15" s="149" t="str">
        <f>IF(G15=0,"n/a",(H15-G15)/G15)</f>
        <v>n/a</v>
      </c>
    </row>
    <row r="16" spans="1:10">
      <c r="F16" s="140" t="s">
        <v>29</v>
      </c>
      <c r="G16" s="140">
        <v>0</v>
      </c>
      <c r="H16" s="140">
        <v>0</v>
      </c>
      <c r="I16" s="149" t="str">
        <f>IF(G16=0,"n/a",(H16-G16)/G16)</f>
        <v>n/a</v>
      </c>
    </row>
    <row r="17" spans="1:9" ht="15" thickBot="1">
      <c r="F17" s="151" t="s">
        <v>25</v>
      </c>
      <c r="G17" s="152">
        <f>SUM(G4:G16)</f>
        <v>54813829</v>
      </c>
      <c r="H17" s="152">
        <f>SUM(H4:H16)</f>
        <v>56627165</v>
      </c>
      <c r="I17" s="153">
        <f>(H17-G17)/G17</f>
        <v>3.3081724686666203E-2</v>
      </c>
    </row>
    <row r="18" spans="1:9" ht="15" thickTop="1">
      <c r="F18" s="151"/>
      <c r="G18" s="144"/>
      <c r="H18" s="144"/>
      <c r="I18" s="153"/>
    </row>
    <row r="19" spans="1:9">
      <c r="F19" s="151"/>
      <c r="G19" s="144"/>
      <c r="H19" s="144"/>
      <c r="I19" s="153"/>
    </row>
    <row r="20" spans="1:9">
      <c r="F20" s="151"/>
      <c r="G20" s="144"/>
      <c r="H20" s="144"/>
      <c r="I20" s="153"/>
    </row>
    <row r="21" spans="1:9" ht="12" customHeight="1"/>
    <row r="22" spans="1:9">
      <c r="A22" s="140" t="s">
        <v>183</v>
      </c>
      <c r="F22" s="154" t="s">
        <v>184</v>
      </c>
    </row>
    <row r="42" spans="1:1" ht="21" customHeight="1"/>
    <row r="43" spans="1:1" ht="21" customHeight="1"/>
    <row r="44" spans="1:1" ht="21" customHeight="1"/>
    <row r="45" spans="1:1">
      <c r="A45" s="140" t="str">
        <f>+'Data Input'!A78</f>
        <v>For more information on our Township's finances, contact Barbara Miller at bmiller@twp.waterford.mi.us</v>
      </c>
    </row>
  </sheetData>
  <sheetProtection algorithmName="SHA-512" hashValue="mnJcGvIkaGF3P/+KxKgfWwlDWliPJoKxPGqTT953Pk6c1whx8qEcMIvp4rr21jC00TFCL32qvKzWFVy2DColSA==" saltValue="/waap1Yx0PAiVoG5wQlfqA==" spinCount="100000" sheet="1" objects="1"/>
  <printOptions horizontalCentered="1"/>
  <pageMargins left="0.2" right="0.2" top="0.5" bottom="0.5" header="0.3" footer="0.3"/>
  <pageSetup scale="85"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100" r:id="rId4" name="Drop Down 52">
              <controlPr defaultSize="0" autoLine="0" autoPict="0">
                <anchor moveWithCells="1">
                  <from>
                    <xdr:col>5</xdr:col>
                    <xdr:colOff>1645920</xdr:colOff>
                    <xdr:row>22</xdr:row>
                    <xdr:rowOff>38100</xdr:rowOff>
                  </from>
                  <to>
                    <xdr:col>9</xdr:col>
                    <xdr:colOff>495300</xdr:colOff>
                    <xdr:row>23</xdr:row>
                    <xdr:rowOff>144780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zoomScale="85" zoomScaleNormal="85" workbookViewId="0">
      <selection activeCell="J40" sqref="J40"/>
    </sheetView>
  </sheetViews>
  <sheetFormatPr defaultColWidth="13.6640625" defaultRowHeight="14.4"/>
  <cols>
    <col min="1" max="5" width="13.6640625" style="140"/>
    <col min="6" max="6" width="26.6640625" style="140" customWidth="1"/>
    <col min="7" max="8" width="13.6640625" style="140"/>
    <col min="9" max="9" width="8.6640625" style="140" bestFit="1" customWidth="1"/>
  </cols>
  <sheetData>
    <row r="1" spans="1:9">
      <c r="A1" s="139" t="str">
        <f>+'Data Input'!A1</f>
        <v>CITIZENS' GUIDE TO LOCAL UNIT FINANCES - Charter Township of Waterford</v>
      </c>
      <c r="I1" s="142" t="s">
        <v>193</v>
      </c>
    </row>
    <row r="2" spans="1:9">
      <c r="A2" s="140" t="s">
        <v>185</v>
      </c>
      <c r="F2" s="140" t="s">
        <v>179</v>
      </c>
    </row>
    <row r="3" spans="1:9" ht="16.2">
      <c r="G3" s="143">
        <v>2021</v>
      </c>
      <c r="H3" s="143">
        <v>2022</v>
      </c>
      <c r="I3" s="143" t="s">
        <v>146</v>
      </c>
    </row>
    <row r="4" spans="1:9">
      <c r="F4" s="140" t="s">
        <v>2</v>
      </c>
      <c r="G4" s="140">
        <v>58534040</v>
      </c>
      <c r="H4" s="140">
        <v>61265787</v>
      </c>
      <c r="I4" s="153">
        <f>(H4-G4)/G4</f>
        <v>4.6669373923276095E-2</v>
      </c>
    </row>
    <row r="5" spans="1:9">
      <c r="F5" s="140" t="s">
        <v>0</v>
      </c>
      <c r="G5" s="140">
        <v>54813829</v>
      </c>
      <c r="H5" s="140">
        <v>56627165</v>
      </c>
      <c r="I5" s="153">
        <f>(H5-G5)/G5</f>
        <v>3.3081724686666203E-2</v>
      </c>
    </row>
    <row r="6" spans="1:9" ht="15" thickBot="1">
      <c r="F6" s="151" t="s">
        <v>26</v>
      </c>
      <c r="G6" s="155">
        <v>3720211</v>
      </c>
      <c r="H6" s="155">
        <v>4638622</v>
      </c>
      <c r="I6" s="156">
        <f>(H6-G6)/G6</f>
        <v>0.24687067480849875</v>
      </c>
    </row>
    <row r="7" spans="1:9" ht="15" thickTop="1">
      <c r="F7" s="140" t="s">
        <v>150</v>
      </c>
      <c r="I7" s="153"/>
    </row>
    <row r="8" spans="1:9">
      <c r="F8" s="140" t="s">
        <v>287</v>
      </c>
      <c r="G8" s="140">
        <v>716358</v>
      </c>
      <c r="H8" s="140">
        <v>721765</v>
      </c>
      <c r="I8" s="153">
        <f t="shared" ref="I8:I13" si="0">(H8-G8)/G8</f>
        <v>7.547902026640311E-3</v>
      </c>
    </row>
    <row r="9" spans="1:9">
      <c r="F9" s="140" t="s">
        <v>288</v>
      </c>
      <c r="G9" s="140">
        <v>3097049</v>
      </c>
      <c r="H9" s="140">
        <v>4001601</v>
      </c>
      <c r="I9" s="153">
        <f t="shared" si="0"/>
        <v>0.29206899858542762</v>
      </c>
    </row>
    <row r="10" spans="1:9">
      <c r="F10" s="140" t="s">
        <v>289</v>
      </c>
      <c r="G10" s="140">
        <v>11689819</v>
      </c>
      <c r="H10" s="140">
        <v>13021916</v>
      </c>
      <c r="I10" s="153">
        <f t="shared" si="0"/>
        <v>0.11395360355878906</v>
      </c>
    </row>
    <row r="11" spans="1:9">
      <c r="F11" s="140" t="s">
        <v>290</v>
      </c>
      <c r="G11" s="140">
        <v>14929924</v>
      </c>
      <c r="H11" s="140">
        <v>16540653</v>
      </c>
      <c r="I11" s="153">
        <f t="shared" si="0"/>
        <v>0.1078859477114552</v>
      </c>
    </row>
    <row r="12" spans="1:9">
      <c r="F12" s="140" t="s">
        <v>291</v>
      </c>
      <c r="G12" s="140">
        <v>11867889</v>
      </c>
      <c r="H12" s="140">
        <v>12653726</v>
      </c>
      <c r="I12" s="153">
        <f t="shared" si="0"/>
        <v>6.6215398543077036E-2</v>
      </c>
    </row>
    <row r="13" spans="1:9" ht="15" thickBot="1">
      <c r="F13" s="151" t="s">
        <v>151</v>
      </c>
      <c r="G13" s="155">
        <v>42301039</v>
      </c>
      <c r="H13" s="155">
        <v>46939661</v>
      </c>
      <c r="I13" s="156">
        <f t="shared" si="0"/>
        <v>0.10965740108653123</v>
      </c>
    </row>
    <row r="14" spans="1:9" ht="15" thickTop="1"/>
    <row r="20" spans="1:6">
      <c r="A20" s="140" t="s">
        <v>186</v>
      </c>
      <c r="F20" s="140" t="s">
        <v>187</v>
      </c>
    </row>
    <row r="37" spans="1:1" ht="19.95" customHeight="1"/>
    <row r="38" spans="1:1" ht="19.95" customHeight="1"/>
    <row r="39" spans="1:1" ht="19.95" customHeight="1"/>
    <row r="40" spans="1:1">
      <c r="A40" s="140" t="str">
        <f>+'Data Input'!A78</f>
        <v>For more information on our Township's finances, contact Barbara Miller at bmiller@twp.waterford.mi.us</v>
      </c>
    </row>
  </sheetData>
  <sheetProtection algorithmName="SHA-512" hashValue="p43Fw4t+mIr+eQH9U5ap8GlCjsj61r9E8BWsWomEKLCkf2Eb6Ze+hsj9IWkM5TqbonvdwabLNHR4/5z3/8dryg==" saltValue="P8xb4+vzkJJfWr4y5rs6cg==" spinCount="100000" sheet="1" objects="1"/>
  <printOptions horizontalCentered="1"/>
  <pageMargins left="0.2" right="0.2" top="0.5" bottom="0.5" header="0.3" footer="0.3"/>
  <pageSetup scale="94" orientation="landscape"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C71"/>
  <sheetViews>
    <sheetView showGridLines="0" showOutlineSymbols="0" zoomScale="80" zoomScaleNormal="80" zoomScaleSheetLayoutView="40" workbookViewId="0">
      <selection activeCell="G22" sqref="G22"/>
    </sheetView>
  </sheetViews>
  <sheetFormatPr defaultColWidth="9.109375" defaultRowHeight="13.2"/>
  <cols>
    <col min="1" max="1" width="41.88671875" style="49" customWidth="1"/>
    <col min="2" max="2" width="3.44140625" style="49" customWidth="1"/>
    <col min="3" max="3" width="1.33203125" style="49" customWidth="1"/>
    <col min="4" max="4" width="9.6640625" style="49" hidden="1" customWidth="1"/>
    <col min="5" max="5" width="1.33203125" style="49" hidden="1" customWidth="1"/>
    <col min="6" max="6" width="18.6640625" style="49" customWidth="1"/>
    <col min="7" max="7" width="18.5546875" style="49" bestFit="1" customWidth="1"/>
    <col min="8" max="9" width="18.33203125" style="49" bestFit="1" customWidth="1"/>
    <col min="10" max="10" width="17.88671875" style="49" bestFit="1" customWidth="1"/>
    <col min="11" max="12" width="18.5546875" style="49" bestFit="1" customWidth="1"/>
    <col min="13" max="13" width="18.33203125" style="49" bestFit="1" customWidth="1"/>
    <col min="14" max="17" width="18.5546875" style="49" bestFit="1" customWidth="1"/>
    <col min="18" max="18" width="18.33203125" style="49" bestFit="1" customWidth="1"/>
    <col min="19" max="19" width="16.33203125" style="49" bestFit="1" customWidth="1"/>
    <col min="20" max="21" width="16" style="49" bestFit="1" customWidth="1"/>
    <col min="22" max="22" width="17.33203125" style="49" customWidth="1"/>
    <col min="23" max="26" width="13.88671875" style="49" customWidth="1"/>
    <col min="27" max="27" width="20.33203125" style="49" bestFit="1" customWidth="1"/>
    <col min="28" max="28" width="17.109375" style="50" customWidth="1"/>
    <col min="29" max="29" width="11" style="49" bestFit="1" customWidth="1"/>
    <col min="30" max="16384" width="9.109375" style="49"/>
  </cols>
  <sheetData>
    <row r="1" spans="1:29">
      <c r="A1" s="48" t="s">
        <v>343</v>
      </c>
    </row>
    <row r="2" spans="1:29">
      <c r="A2" s="51" t="s">
        <v>344</v>
      </c>
      <c r="B2" s="51"/>
      <c r="C2" s="51"/>
      <c r="D2" s="51"/>
      <c r="E2" s="51"/>
      <c r="F2" s="52"/>
      <c r="G2" s="52"/>
      <c r="H2" s="52"/>
      <c r="I2" s="52"/>
      <c r="J2" s="52"/>
      <c r="K2" s="52"/>
      <c r="L2" s="52"/>
      <c r="M2" s="52"/>
      <c r="N2" s="52"/>
      <c r="O2" s="52"/>
      <c r="P2" s="52"/>
      <c r="Q2" s="52"/>
      <c r="R2" s="52"/>
      <c r="S2" s="52"/>
      <c r="T2" s="52"/>
      <c r="U2" s="52"/>
      <c r="V2" s="52"/>
      <c r="W2" s="52"/>
      <c r="X2" s="52"/>
      <c r="Y2" s="52"/>
      <c r="Z2" s="52"/>
      <c r="AA2" s="52"/>
    </row>
    <row r="3" spans="1:29">
      <c r="A3" s="51" t="s">
        <v>320</v>
      </c>
      <c r="B3" s="51"/>
      <c r="C3" s="51"/>
      <c r="D3" s="51"/>
      <c r="E3" s="51"/>
      <c r="F3" s="52"/>
      <c r="G3" s="52"/>
      <c r="H3" s="52"/>
      <c r="I3" s="52"/>
      <c r="J3" s="52"/>
      <c r="K3" s="52"/>
      <c r="L3" s="52"/>
      <c r="M3" s="52"/>
      <c r="N3" s="52"/>
      <c r="O3" s="52"/>
      <c r="P3" s="52"/>
      <c r="Q3" s="52"/>
      <c r="R3" s="52"/>
      <c r="S3" s="52"/>
      <c r="T3" s="52"/>
      <c r="U3" s="52"/>
      <c r="V3" s="52"/>
      <c r="W3" s="52"/>
      <c r="X3" s="52"/>
      <c r="Y3" s="52"/>
      <c r="Z3" s="52"/>
      <c r="AA3" s="52"/>
    </row>
    <row r="4" spans="1:29">
      <c r="C4" s="53"/>
      <c r="D4" s="53"/>
      <c r="E4" s="53"/>
      <c r="F4" s="53">
        <v>2016</v>
      </c>
      <c r="G4" s="53">
        <f t="shared" ref="G4:U4" si="0">F4+1</f>
        <v>2017</v>
      </c>
      <c r="H4" s="53">
        <f t="shared" si="0"/>
        <v>2018</v>
      </c>
      <c r="I4" s="53">
        <f t="shared" si="0"/>
        <v>2019</v>
      </c>
      <c r="J4" s="53">
        <f t="shared" si="0"/>
        <v>2020</v>
      </c>
      <c r="K4" s="53">
        <f t="shared" si="0"/>
        <v>2021</v>
      </c>
      <c r="L4" s="54">
        <f t="shared" si="0"/>
        <v>2022</v>
      </c>
      <c r="M4" s="54">
        <f t="shared" si="0"/>
        <v>2023</v>
      </c>
      <c r="N4" s="54">
        <f t="shared" si="0"/>
        <v>2024</v>
      </c>
      <c r="O4" s="54">
        <f t="shared" si="0"/>
        <v>2025</v>
      </c>
      <c r="P4" s="54">
        <f t="shared" si="0"/>
        <v>2026</v>
      </c>
      <c r="Q4" s="54">
        <f t="shared" si="0"/>
        <v>2027</v>
      </c>
      <c r="R4" s="54">
        <f t="shared" si="0"/>
        <v>2028</v>
      </c>
      <c r="S4" s="54">
        <f t="shared" si="0"/>
        <v>2029</v>
      </c>
      <c r="T4" s="54">
        <f t="shared" si="0"/>
        <v>2030</v>
      </c>
      <c r="U4" s="54">
        <f t="shared" si="0"/>
        <v>2031</v>
      </c>
      <c r="V4" s="54">
        <f>U4+1</f>
        <v>2032</v>
      </c>
      <c r="W4" s="54">
        <f>V4+1</f>
        <v>2033</v>
      </c>
      <c r="X4" s="54">
        <v>2034</v>
      </c>
      <c r="Y4" s="54">
        <v>2035</v>
      </c>
      <c r="Z4" s="54">
        <v>2036</v>
      </c>
      <c r="AA4" s="55" t="s">
        <v>321</v>
      </c>
      <c r="AB4" s="49"/>
    </row>
    <row r="5" spans="1:29" s="50" customFormat="1">
      <c r="A5" s="81" t="s">
        <v>322</v>
      </c>
      <c r="B5" s="82"/>
      <c r="C5" s="82"/>
      <c r="D5" s="82"/>
      <c r="E5" s="82"/>
      <c r="F5" s="82"/>
      <c r="G5" s="82"/>
      <c r="H5" s="82"/>
      <c r="I5" s="82"/>
      <c r="J5" s="82"/>
      <c r="K5" s="82"/>
      <c r="L5" s="82"/>
      <c r="M5" s="82"/>
      <c r="N5" s="82"/>
      <c r="O5" s="82"/>
      <c r="P5" s="82"/>
      <c r="Q5" s="82"/>
      <c r="R5" s="82"/>
      <c r="S5" s="82"/>
      <c r="T5" s="82"/>
      <c r="U5" s="82"/>
      <c r="V5" s="82"/>
      <c r="W5" s="83"/>
      <c r="X5" s="83"/>
      <c r="Y5" s="83"/>
      <c r="Z5" s="83"/>
      <c r="AA5" s="82"/>
      <c r="AC5" s="49"/>
    </row>
    <row r="6" spans="1:29" s="50" customFormat="1">
      <c r="A6" s="81"/>
      <c r="B6" s="82"/>
      <c r="C6" s="82"/>
      <c r="D6" s="82"/>
      <c r="E6" s="82"/>
      <c r="F6" s="82"/>
      <c r="G6" s="82"/>
      <c r="H6" s="82"/>
      <c r="I6" s="82"/>
      <c r="J6" s="82"/>
      <c r="K6" s="82"/>
      <c r="L6" s="82"/>
      <c r="M6" s="82"/>
      <c r="N6" s="82"/>
      <c r="O6" s="82"/>
      <c r="P6" s="82"/>
      <c r="Q6" s="82"/>
      <c r="R6" s="82"/>
      <c r="S6" s="82"/>
      <c r="T6" s="82"/>
      <c r="U6" s="82"/>
      <c r="V6" s="82"/>
      <c r="W6" s="83"/>
      <c r="X6" s="83"/>
      <c r="Y6" s="83"/>
      <c r="Z6" s="83"/>
      <c r="AA6" s="82"/>
      <c r="AC6" s="49"/>
    </row>
    <row r="7" spans="1:29" s="50" customFormat="1">
      <c r="A7" s="84" t="s">
        <v>345</v>
      </c>
      <c r="B7" s="82"/>
      <c r="C7" s="82"/>
      <c r="D7" s="82"/>
      <c r="E7" s="82"/>
      <c r="F7" s="82"/>
      <c r="G7" s="82"/>
      <c r="H7" s="82"/>
      <c r="I7" s="82"/>
      <c r="J7" s="82"/>
      <c r="K7" s="82"/>
      <c r="L7" s="82"/>
      <c r="M7" s="82"/>
      <c r="N7" s="82"/>
      <c r="O7" s="82"/>
      <c r="P7" s="82"/>
      <c r="Q7" s="82"/>
      <c r="R7" s="82"/>
      <c r="S7" s="82"/>
      <c r="T7" s="82"/>
      <c r="U7" s="82"/>
      <c r="V7" s="82"/>
      <c r="W7" s="82"/>
      <c r="X7" s="82"/>
      <c r="Y7" s="82"/>
      <c r="Z7" s="82"/>
      <c r="AA7" s="82"/>
      <c r="AC7" s="49"/>
    </row>
    <row r="8" spans="1:29" s="50" customFormat="1">
      <c r="A8" s="85" t="s">
        <v>346</v>
      </c>
      <c r="B8" s="82" t="s">
        <v>323</v>
      </c>
      <c r="C8" s="86"/>
      <c r="D8" s="87" t="s">
        <v>347</v>
      </c>
      <c r="E8" s="86"/>
      <c r="F8" s="86">
        <v>170000</v>
      </c>
      <c r="G8" s="86">
        <v>175000</v>
      </c>
      <c r="H8" s="86">
        <v>180000</v>
      </c>
      <c r="I8" s="86">
        <v>180000</v>
      </c>
      <c r="J8" s="86">
        <v>185000</v>
      </c>
      <c r="K8" s="86">
        <v>185000</v>
      </c>
      <c r="L8" s="86">
        <v>185000</v>
      </c>
      <c r="M8" s="86">
        <v>190000</v>
      </c>
      <c r="N8" s="86">
        <v>190000</v>
      </c>
      <c r="O8" s="86">
        <v>195000</v>
      </c>
      <c r="P8" s="86">
        <v>200000</v>
      </c>
      <c r="Q8" s="86">
        <v>187393</v>
      </c>
      <c r="R8" s="86">
        <v>0</v>
      </c>
      <c r="S8" s="86">
        <v>0</v>
      </c>
      <c r="T8" s="86">
        <v>0</v>
      </c>
      <c r="U8" s="86">
        <v>0</v>
      </c>
      <c r="V8" s="86">
        <v>0</v>
      </c>
      <c r="W8" s="86">
        <v>0</v>
      </c>
      <c r="X8" s="86">
        <v>0</v>
      </c>
      <c r="Y8" s="86">
        <v>0</v>
      </c>
      <c r="Z8" s="86">
        <v>0</v>
      </c>
      <c r="AA8" s="86">
        <f>SUM(F8:Z8)</f>
        <v>2222393</v>
      </c>
      <c r="AC8" s="49"/>
    </row>
    <row r="9" spans="1:29">
      <c r="A9" s="85" t="s">
        <v>348</v>
      </c>
      <c r="B9" s="82" t="s">
        <v>324</v>
      </c>
      <c r="C9" s="86"/>
      <c r="D9" s="56"/>
      <c r="E9" s="57"/>
      <c r="F9" s="86">
        <f>18056.94*2</f>
        <v>36113.879999999997</v>
      </c>
      <c r="G9" s="86">
        <f>16675.59*2</f>
        <v>33351.18</v>
      </c>
      <c r="H9" s="86">
        <f>15253.82*2</f>
        <v>30507.64</v>
      </c>
      <c r="I9" s="86">
        <f>13791.32*2</f>
        <v>27582.639999999999</v>
      </c>
      <c r="J9" s="86">
        <f>12328.82*2</f>
        <v>24657.64</v>
      </c>
      <c r="K9" s="86">
        <f>10825.69*2</f>
        <v>21651.38</v>
      </c>
      <c r="L9" s="86">
        <f>9322.57*2</f>
        <v>18645.14</v>
      </c>
      <c r="M9" s="86">
        <f>7819.44*2</f>
        <v>15638.88</v>
      </c>
      <c r="N9" s="86">
        <f>6275.69*2</f>
        <v>12551.38</v>
      </c>
      <c r="O9" s="86">
        <f>4731.94*2</f>
        <v>9463.8799999999992</v>
      </c>
      <c r="P9" s="86">
        <f>3147.57*2</f>
        <v>6295.14</v>
      </c>
      <c r="Q9" s="86">
        <v>3045.14</v>
      </c>
      <c r="R9" s="86">
        <v>0</v>
      </c>
      <c r="S9" s="88">
        <v>0</v>
      </c>
      <c r="T9" s="88">
        <v>0</v>
      </c>
      <c r="U9" s="88">
        <v>0</v>
      </c>
      <c r="V9" s="88">
        <v>0</v>
      </c>
      <c r="W9" s="88">
        <v>0</v>
      </c>
      <c r="X9" s="88">
        <v>0</v>
      </c>
      <c r="Y9" s="88">
        <v>0</v>
      </c>
      <c r="Z9" s="88">
        <v>0</v>
      </c>
      <c r="AA9" s="86">
        <f>SUM(F9:Z9)</f>
        <v>239503.92000000004</v>
      </c>
    </row>
    <row r="10" spans="1:29">
      <c r="A10" s="82"/>
      <c r="B10" s="82"/>
      <c r="C10" s="86"/>
      <c r="D10" s="58"/>
      <c r="E10" s="59"/>
      <c r="F10" s="89"/>
      <c r="G10" s="89"/>
      <c r="H10" s="89"/>
      <c r="I10" s="89"/>
      <c r="J10" s="89"/>
      <c r="K10" s="89"/>
      <c r="L10" s="89"/>
      <c r="M10" s="89"/>
      <c r="N10" s="89"/>
      <c r="O10" s="89"/>
      <c r="P10" s="89"/>
      <c r="Q10" s="89"/>
      <c r="R10" s="89"/>
      <c r="S10" s="86"/>
      <c r="T10" s="86"/>
      <c r="U10" s="86"/>
      <c r="V10" s="86"/>
      <c r="W10" s="86"/>
      <c r="X10" s="86"/>
      <c r="Y10" s="86"/>
      <c r="Z10" s="86"/>
      <c r="AA10" s="86"/>
      <c r="AB10" s="60"/>
    </row>
    <row r="11" spans="1:29">
      <c r="A11" s="85" t="s">
        <v>349</v>
      </c>
      <c r="B11" s="82" t="s">
        <v>323</v>
      </c>
      <c r="C11" s="86"/>
      <c r="D11" s="87" t="s">
        <v>350</v>
      </c>
      <c r="E11" s="86"/>
      <c r="F11" s="86">
        <v>415000</v>
      </c>
      <c r="G11" s="86">
        <v>425000</v>
      </c>
      <c r="H11" s="86">
        <v>435000</v>
      </c>
      <c r="I11" s="86">
        <v>445000</v>
      </c>
      <c r="J11" s="86">
        <v>455000</v>
      </c>
      <c r="K11" s="86">
        <v>465000</v>
      </c>
      <c r="L11" s="86">
        <v>475000</v>
      </c>
      <c r="M11" s="86">
        <v>485000</v>
      </c>
      <c r="N11" s="86">
        <v>495000</v>
      </c>
      <c r="O11" s="86">
        <v>505000</v>
      </c>
      <c r="P11" s="86">
        <v>515000</v>
      </c>
      <c r="Q11" s="86">
        <v>525000</v>
      </c>
      <c r="R11" s="86">
        <v>538831</v>
      </c>
      <c r="S11" s="86">
        <v>0</v>
      </c>
      <c r="T11" s="86">
        <v>0</v>
      </c>
      <c r="U11" s="86">
        <v>0</v>
      </c>
      <c r="V11" s="86">
        <v>0</v>
      </c>
      <c r="W11" s="86">
        <v>0</v>
      </c>
      <c r="X11" s="86">
        <v>0</v>
      </c>
      <c r="Y11" s="86">
        <v>0</v>
      </c>
      <c r="Z11" s="86">
        <v>0</v>
      </c>
      <c r="AA11" s="86">
        <f>SUM(F11:Z11)</f>
        <v>6178831</v>
      </c>
    </row>
    <row r="12" spans="1:29">
      <c r="A12" s="85" t="s">
        <v>351</v>
      </c>
      <c r="B12" s="82" t="s">
        <v>324</v>
      </c>
      <c r="C12" s="86"/>
      <c r="D12" s="57"/>
      <c r="E12" s="57"/>
      <c r="F12" s="86">
        <f>65650.08+61240.7</f>
        <v>126890.78</v>
      </c>
      <c r="G12" s="86">
        <f>61240.7+56725.08</f>
        <v>117965.78</v>
      </c>
      <c r="H12" s="86">
        <f>56725.08+52103.2</f>
        <v>108828.28</v>
      </c>
      <c r="I12" s="86">
        <f>52103.2+47375.08</f>
        <v>99478.28</v>
      </c>
      <c r="J12" s="86">
        <f>47375.08+42540.7</f>
        <v>89915.78</v>
      </c>
      <c r="K12" s="86">
        <f>42540.7+37600.08</f>
        <v>80140.78</v>
      </c>
      <c r="L12" s="86">
        <f>37600.08+32553.2</f>
        <v>70153.279999999999</v>
      </c>
      <c r="M12" s="86">
        <f>32553.2+27400.08</f>
        <v>59953.279999999999</v>
      </c>
      <c r="N12" s="86">
        <f>27400.08+22140.7</f>
        <v>49540.78</v>
      </c>
      <c r="O12" s="86">
        <f>22140.7+16775.08</f>
        <v>38915.78</v>
      </c>
      <c r="P12" s="86">
        <f>16775.08+11303.2</f>
        <v>28078.280000000002</v>
      </c>
      <c r="Q12" s="86">
        <f>11303.2+5725.08</f>
        <v>17028.28</v>
      </c>
      <c r="R12" s="86">
        <v>5725.08</v>
      </c>
      <c r="S12" s="86">
        <v>0</v>
      </c>
      <c r="T12" s="86">
        <v>0</v>
      </c>
      <c r="U12" s="86">
        <v>0</v>
      </c>
      <c r="V12" s="86">
        <v>0</v>
      </c>
      <c r="W12" s="86">
        <v>0</v>
      </c>
      <c r="X12" s="86">
        <v>0</v>
      </c>
      <c r="Y12" s="86">
        <v>0</v>
      </c>
      <c r="Z12" s="86">
        <v>0</v>
      </c>
      <c r="AA12" s="86">
        <f>SUM(F12:Z12)</f>
        <v>892614.44000000018</v>
      </c>
    </row>
    <row r="13" spans="1:29">
      <c r="A13" s="82"/>
      <c r="B13" s="82"/>
      <c r="C13" s="86"/>
      <c r="D13" s="59"/>
      <c r="E13" s="59"/>
      <c r="F13" s="89"/>
      <c r="G13" s="89"/>
      <c r="H13" s="89"/>
      <c r="I13" s="89"/>
      <c r="J13" s="89"/>
      <c r="K13" s="89"/>
      <c r="L13" s="89"/>
      <c r="M13" s="89"/>
      <c r="N13" s="89"/>
      <c r="O13" s="89"/>
      <c r="P13" s="89"/>
      <c r="Q13" s="89"/>
      <c r="R13" s="89"/>
      <c r="S13" s="89"/>
      <c r="T13" s="89"/>
      <c r="U13" s="89"/>
      <c r="V13" s="89"/>
      <c r="W13" s="89"/>
      <c r="X13" s="89"/>
      <c r="Y13" s="89"/>
      <c r="Z13" s="89"/>
      <c r="AA13" s="86"/>
    </row>
    <row r="14" spans="1:29">
      <c r="A14" s="82"/>
      <c r="B14" s="82"/>
      <c r="C14" s="86"/>
      <c r="D14" s="61"/>
      <c r="E14" s="61"/>
      <c r="F14" s="86"/>
      <c r="G14" s="86"/>
      <c r="H14" s="86"/>
      <c r="I14" s="86"/>
      <c r="J14" s="86"/>
      <c r="K14" s="86"/>
      <c r="L14" s="86"/>
      <c r="M14" s="86"/>
      <c r="N14" s="86"/>
      <c r="O14" s="86"/>
      <c r="P14" s="86"/>
      <c r="Q14" s="86"/>
      <c r="R14" s="86"/>
      <c r="S14" s="86"/>
      <c r="T14" s="86"/>
      <c r="U14" s="86"/>
      <c r="V14" s="86"/>
      <c r="W14" s="86"/>
      <c r="X14" s="86"/>
      <c r="Y14" s="86"/>
      <c r="Z14" s="86"/>
      <c r="AA14" s="86"/>
    </row>
    <row r="15" spans="1:29">
      <c r="A15" s="85" t="s">
        <v>352</v>
      </c>
      <c r="B15" s="82" t="s">
        <v>323</v>
      </c>
      <c r="C15" s="86"/>
      <c r="D15" s="62" t="s">
        <v>353</v>
      </c>
      <c r="E15" s="61"/>
      <c r="F15" s="86">
        <v>151434</v>
      </c>
      <c r="G15" s="86">
        <v>155472.24</v>
      </c>
      <c r="H15" s="86">
        <v>158837.44</v>
      </c>
      <c r="I15" s="86">
        <v>162875.68</v>
      </c>
      <c r="J15" s="86">
        <v>167586.96</v>
      </c>
      <c r="K15" s="86">
        <v>171625.2</v>
      </c>
      <c r="L15" s="86">
        <v>175663.44</v>
      </c>
      <c r="M15" s="86">
        <v>180374.72</v>
      </c>
      <c r="N15" s="86">
        <v>185086</v>
      </c>
      <c r="O15" s="86">
        <v>189797.28</v>
      </c>
      <c r="P15" s="86">
        <v>194508.56</v>
      </c>
      <c r="Q15" s="86">
        <v>199219.84</v>
      </c>
      <c r="R15" s="86">
        <v>204604.16</v>
      </c>
      <c r="S15" s="86">
        <v>209315.44</v>
      </c>
      <c r="T15" s="86">
        <v>214699.76</v>
      </c>
      <c r="U15" s="86">
        <v>220084.08</v>
      </c>
      <c r="V15" s="86">
        <v>0</v>
      </c>
      <c r="W15" s="86">
        <v>0</v>
      </c>
      <c r="X15" s="86">
        <v>0</v>
      </c>
      <c r="Y15" s="86">
        <v>0</v>
      </c>
      <c r="Z15" s="86">
        <v>0</v>
      </c>
      <c r="AA15" s="86">
        <f>SUM(F15:Z15)</f>
        <v>2941184.8</v>
      </c>
      <c r="AB15" s="49"/>
    </row>
    <row r="16" spans="1:29">
      <c r="A16" s="85" t="s">
        <v>354</v>
      </c>
      <c r="B16" s="82" t="s">
        <v>324</v>
      </c>
      <c r="C16" s="86"/>
      <c r="D16" s="89">
        <v>3510040</v>
      </c>
      <c r="E16" s="61"/>
      <c r="F16" s="86">
        <f>36764.81+34871.89</f>
        <v>71636.7</v>
      </c>
      <c r="G16" s="86">
        <f>34871.89+32928.48</f>
        <v>67800.37</v>
      </c>
      <c r="H16" s="86">
        <f>32928.48+30943.01</f>
        <v>63871.490000000005</v>
      </c>
      <c r="I16" s="86">
        <f>30943.01+28907.07</f>
        <v>59850.080000000002</v>
      </c>
      <c r="J16" s="86">
        <f>28907.07+26812.23</f>
        <v>55719.3</v>
      </c>
      <c r="K16" s="86">
        <f>26812.23+24666.92</f>
        <v>51479.149999999994</v>
      </c>
      <c r="L16" s="86">
        <f>24666.92+22471.12</f>
        <v>47138.039999999994</v>
      </c>
      <c r="M16" s="86">
        <f>22471.12+20216.44</f>
        <v>42687.56</v>
      </c>
      <c r="N16" s="86">
        <f>20216.44+17902.86</f>
        <v>38119.300000000003</v>
      </c>
      <c r="O16" s="86">
        <f>17902.86+15530.4</f>
        <v>33433.26</v>
      </c>
      <c r="P16" s="86">
        <f>15530.4+13099.04</f>
        <v>28629.440000000002</v>
      </c>
      <c r="Q16" s="86">
        <f>13099.04+10608.79</f>
        <v>23707.83</v>
      </c>
      <c r="R16" s="86">
        <f>10608.79+8051.24</f>
        <v>18660.03</v>
      </c>
      <c r="S16" s="86">
        <f>8051.24+5434.8</f>
        <v>13486.04</v>
      </c>
      <c r="T16" s="86">
        <f>5434.8+2751.05</f>
        <v>8185.85</v>
      </c>
      <c r="U16" s="86">
        <f>2751.05-0.02</f>
        <v>2751.03</v>
      </c>
      <c r="V16" s="86">
        <v>0</v>
      </c>
      <c r="W16" s="86">
        <v>0</v>
      </c>
      <c r="X16" s="86">
        <v>0</v>
      </c>
      <c r="Y16" s="86">
        <v>0</v>
      </c>
      <c r="Z16" s="86">
        <v>0</v>
      </c>
      <c r="AA16" s="86">
        <f>SUM(F16:Z16)</f>
        <v>627155.47</v>
      </c>
      <c r="AB16" s="49"/>
    </row>
    <row r="17" spans="1:28">
      <c r="A17" s="82"/>
      <c r="B17" s="82"/>
      <c r="C17" s="86"/>
      <c r="D17" s="61"/>
      <c r="E17" s="61"/>
      <c r="F17" s="86"/>
      <c r="G17" s="86"/>
      <c r="H17" s="86"/>
      <c r="I17" s="86"/>
      <c r="J17" s="86"/>
      <c r="K17" s="86"/>
      <c r="L17" s="86"/>
      <c r="M17" s="86"/>
      <c r="N17" s="86"/>
      <c r="O17" s="86"/>
      <c r="P17" s="86"/>
      <c r="Q17" s="86"/>
      <c r="R17" s="86"/>
      <c r="S17" s="86"/>
      <c r="T17" s="86"/>
      <c r="U17" s="86"/>
      <c r="V17" s="86"/>
      <c r="W17" s="86"/>
      <c r="X17" s="86"/>
      <c r="Y17" s="86"/>
      <c r="Z17" s="86"/>
      <c r="AA17" s="86"/>
      <c r="AB17" s="49"/>
    </row>
    <row r="18" spans="1:28">
      <c r="A18" s="85" t="s">
        <v>355</v>
      </c>
      <c r="B18" s="82" t="s">
        <v>323</v>
      </c>
      <c r="C18" s="86"/>
      <c r="D18" s="61"/>
      <c r="E18" s="61"/>
      <c r="F18" s="86">
        <v>34998.080000000002</v>
      </c>
      <c r="G18" s="86">
        <v>36344.160000000003</v>
      </c>
      <c r="H18" s="86">
        <v>37690.239999999998</v>
      </c>
      <c r="I18" s="86">
        <v>39709.360000000001</v>
      </c>
      <c r="J18" s="86">
        <v>41728.480000000003</v>
      </c>
      <c r="K18" s="86">
        <v>43747.6</v>
      </c>
      <c r="L18" s="86">
        <v>45766.720000000001</v>
      </c>
      <c r="M18" s="86">
        <v>48458.879999999997</v>
      </c>
      <c r="N18" s="86">
        <v>51151.040000000001</v>
      </c>
      <c r="O18" s="86">
        <v>53843.199999999997</v>
      </c>
      <c r="P18" s="86">
        <v>56535.360000000001</v>
      </c>
      <c r="Q18" s="86">
        <v>59900.56</v>
      </c>
      <c r="R18" s="86">
        <v>62592.72</v>
      </c>
      <c r="S18" s="86">
        <v>66630.960000000006</v>
      </c>
      <c r="T18" s="86">
        <f>69996.16</f>
        <v>69996.160000000003</v>
      </c>
      <c r="U18" s="86">
        <v>0</v>
      </c>
      <c r="V18" s="86">
        <v>0</v>
      </c>
      <c r="W18" s="86">
        <v>0</v>
      </c>
      <c r="X18" s="86">
        <v>0</v>
      </c>
      <c r="Y18" s="86">
        <v>0</v>
      </c>
      <c r="Z18" s="86">
        <v>0</v>
      </c>
      <c r="AA18" s="86">
        <f>SUM(F18:Z18)</f>
        <v>749093.5199999999</v>
      </c>
      <c r="AB18" s="49"/>
    </row>
    <row r="19" spans="1:28">
      <c r="A19" s="85" t="s">
        <v>356</v>
      </c>
      <c r="B19" s="82" t="s">
        <v>324</v>
      </c>
      <c r="C19" s="86"/>
      <c r="D19" s="61"/>
      <c r="E19" s="61"/>
      <c r="F19" s="86">
        <f>19961.36+19305.14</f>
        <v>39266.5</v>
      </c>
      <c r="G19" s="86">
        <f>19305.14+18596.43</f>
        <v>37901.57</v>
      </c>
      <c r="H19" s="86">
        <f>18596.43+17776.67</f>
        <v>36373.1</v>
      </c>
      <c r="I19" s="86">
        <f>17776.67+16843.5</f>
        <v>34620.17</v>
      </c>
      <c r="J19" s="86">
        <f>16843.5+15821.15</f>
        <v>32664.65</v>
      </c>
      <c r="K19" s="86">
        <f>15821.15+14705.59</f>
        <v>30526.739999999998</v>
      </c>
      <c r="L19" s="86">
        <f>14705.59+13504.21</f>
        <v>28209.8</v>
      </c>
      <c r="M19" s="86">
        <f>13504.21+12183.71</f>
        <v>25687.919999999998</v>
      </c>
      <c r="N19" s="86">
        <f>12183.71+10789.84</f>
        <v>22973.55</v>
      </c>
      <c r="O19" s="86">
        <f>10789.84+9255.31</f>
        <v>20045.150000000001</v>
      </c>
      <c r="P19" s="86">
        <f>9255.31+7644.05</f>
        <v>16899.36</v>
      </c>
      <c r="Q19" s="86">
        <f>7644.05+5876.99</f>
        <v>13521.04</v>
      </c>
      <c r="R19" s="86">
        <f>5876.99+4030.5</f>
        <v>9907.49</v>
      </c>
      <c r="S19" s="86">
        <f>4030.5+2064.89</f>
        <v>6095.3899999999994</v>
      </c>
      <c r="T19" s="86">
        <f>2064.89-0.01</f>
        <v>2064.8799999999997</v>
      </c>
      <c r="U19" s="86">
        <v>0</v>
      </c>
      <c r="V19" s="86">
        <v>0</v>
      </c>
      <c r="W19" s="86">
        <v>0</v>
      </c>
      <c r="X19" s="86">
        <v>0</v>
      </c>
      <c r="Y19" s="86">
        <v>0</v>
      </c>
      <c r="Z19" s="86">
        <v>0</v>
      </c>
      <c r="AA19" s="86">
        <f>SUM(F19:Z19)</f>
        <v>356757.31</v>
      </c>
      <c r="AB19" s="49"/>
    </row>
    <row r="20" spans="1:28">
      <c r="A20" s="85"/>
      <c r="B20" s="82"/>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49"/>
    </row>
    <row r="21" spans="1:28">
      <c r="A21" s="85" t="s">
        <v>357</v>
      </c>
      <c r="B21" s="82" t="s">
        <v>323</v>
      </c>
      <c r="C21" s="86"/>
      <c r="D21" s="86"/>
      <c r="E21" s="86"/>
      <c r="F21" s="86">
        <v>173529.73</v>
      </c>
      <c r="G21" s="86">
        <v>177661.39</v>
      </c>
      <c r="H21" s="86">
        <v>182619.38</v>
      </c>
      <c r="I21" s="86">
        <v>186751.04</v>
      </c>
      <c r="J21" s="86">
        <v>191709.04</v>
      </c>
      <c r="K21" s="86">
        <v>196667.03</v>
      </c>
      <c r="L21" s="86">
        <v>200798.69</v>
      </c>
      <c r="M21" s="86">
        <v>206583.01</v>
      </c>
      <c r="N21" s="86">
        <v>211541</v>
      </c>
      <c r="O21" s="86">
        <v>216499</v>
      </c>
      <c r="P21" s="86">
        <v>222283.32</v>
      </c>
      <c r="Q21" s="86">
        <v>228067.65</v>
      </c>
      <c r="R21" s="86">
        <v>233025.64</v>
      </c>
      <c r="S21" s="63">
        <v>238809.96</v>
      </c>
      <c r="T21" s="63">
        <v>245420.62</v>
      </c>
      <c r="U21" s="63">
        <f>251204.94-30655.51</f>
        <v>220549.43</v>
      </c>
      <c r="V21" s="63">
        <v>257815.6</v>
      </c>
      <c r="W21" s="63">
        <v>263599.92</v>
      </c>
      <c r="X21" s="86">
        <v>30654.55</v>
      </c>
      <c r="Y21" s="86">
        <v>0</v>
      </c>
      <c r="Z21" s="86">
        <v>0</v>
      </c>
      <c r="AA21" s="86">
        <f>SUM(F21:Z21)</f>
        <v>3884586</v>
      </c>
      <c r="AB21" s="64"/>
    </row>
    <row r="22" spans="1:28">
      <c r="A22" s="85" t="s">
        <v>358</v>
      </c>
      <c r="B22" s="82" t="s">
        <v>324</v>
      </c>
      <c r="C22" s="86"/>
      <c r="D22" s="86"/>
      <c r="E22" s="86"/>
      <c r="F22" s="86">
        <f>48557.34+48557.34</f>
        <v>97114.68</v>
      </c>
      <c r="G22" s="86">
        <f>46388.22+46388.22</f>
        <v>92776.44</v>
      </c>
      <c r="H22" s="86">
        <f>44167.45+44167.45</f>
        <v>88334.9</v>
      </c>
      <c r="I22" s="86">
        <f>41884.71+41884.71</f>
        <v>83769.42</v>
      </c>
      <c r="J22" s="86">
        <f>39550.32+39550.32</f>
        <v>79100.639999999999</v>
      </c>
      <c r="K22" s="86">
        <f>37153.95+37153.95</f>
        <v>74307.899999999994</v>
      </c>
      <c r="L22" s="86">
        <f>34695.62+34695.62</f>
        <v>69391.240000000005</v>
      </c>
      <c r="M22" s="86">
        <f>32185.63+32185.63</f>
        <v>64371.26</v>
      </c>
      <c r="N22" s="86">
        <f>29603.35*2</f>
        <v>59206.7</v>
      </c>
      <c r="O22" s="86">
        <f>26959.08*2</f>
        <v>53918.16</v>
      </c>
      <c r="P22" s="86">
        <f>24252.85*2</f>
        <v>48505.7</v>
      </c>
      <c r="Q22" s="86">
        <f>21474.3*2</f>
        <v>42948.6</v>
      </c>
      <c r="R22" s="86">
        <f>18623.46*2</f>
        <v>37246.92</v>
      </c>
      <c r="S22" s="63">
        <f>15710.64*2</f>
        <v>31421.279999999999</v>
      </c>
      <c r="T22" s="63">
        <f>12725.51*2</f>
        <v>25451.02</v>
      </c>
      <c r="U22" s="86">
        <f>9657.76*2</f>
        <v>19315.52</v>
      </c>
      <c r="V22" s="63">
        <f>6517.69*2</f>
        <v>13035.38</v>
      </c>
      <c r="W22" s="63">
        <f>3295*2</f>
        <v>6590</v>
      </c>
      <c r="X22" s="86">
        <v>0</v>
      </c>
      <c r="Y22" s="86">
        <v>0</v>
      </c>
      <c r="Z22" s="86">
        <v>0</v>
      </c>
      <c r="AA22" s="86">
        <f>SUM(F22:Z22)</f>
        <v>986805.76000000001</v>
      </c>
    </row>
    <row r="23" spans="1:28">
      <c r="A23" s="85"/>
      <c r="B23" s="82"/>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49"/>
    </row>
    <row r="24" spans="1:28">
      <c r="A24" s="85" t="s">
        <v>325</v>
      </c>
      <c r="B24" s="82" t="s">
        <v>323</v>
      </c>
      <c r="C24" s="63"/>
      <c r="D24" s="63"/>
      <c r="E24" s="63"/>
      <c r="F24" s="63">
        <f>435000*D25-13600</f>
        <v>323699</v>
      </c>
      <c r="G24" s="63">
        <f>450000*D25-13600</f>
        <v>335330</v>
      </c>
      <c r="H24" s="63">
        <f>455000*D25-13600</f>
        <v>339207</v>
      </c>
      <c r="I24" s="63">
        <f>470000*D25-13600</f>
        <v>350838</v>
      </c>
      <c r="J24" s="63">
        <f>490000*D25-13600</f>
        <v>366346</v>
      </c>
      <c r="K24" s="63">
        <f>320000*D25-13600</f>
        <v>234528</v>
      </c>
      <c r="L24" s="63">
        <f>335000*D25-13600</f>
        <v>246159</v>
      </c>
      <c r="M24" s="63">
        <f>345000*D25-13600-57</f>
        <v>253856</v>
      </c>
      <c r="N24" s="63">
        <v>0</v>
      </c>
      <c r="O24" s="63">
        <v>0</v>
      </c>
      <c r="P24" s="63">
        <v>0</v>
      </c>
      <c r="Q24" s="63">
        <v>0</v>
      </c>
      <c r="R24" s="63">
        <v>0</v>
      </c>
      <c r="S24" s="63">
        <v>0</v>
      </c>
      <c r="T24" s="63">
        <v>0</v>
      </c>
      <c r="U24" s="63">
        <v>0</v>
      </c>
      <c r="V24" s="63">
        <v>0</v>
      </c>
      <c r="W24" s="63">
        <v>0</v>
      </c>
      <c r="X24" s="63">
        <v>0</v>
      </c>
      <c r="Y24" s="63">
        <v>0</v>
      </c>
      <c r="Z24" s="63">
        <v>0</v>
      </c>
      <c r="AA24" s="86">
        <f>SUM(F24:Z24)</f>
        <v>2449963</v>
      </c>
      <c r="AB24" s="49"/>
    </row>
    <row r="25" spans="1:28">
      <c r="A25" s="85" t="s">
        <v>359</v>
      </c>
      <c r="B25" s="82" t="s">
        <v>324</v>
      </c>
      <c r="C25" s="63"/>
      <c r="D25" s="65">
        <v>0.77539999999999998</v>
      </c>
      <c r="E25" s="63"/>
      <c r="F25" s="63">
        <f>(45075+45075)*D25</f>
        <v>69902.31</v>
      </c>
      <c r="G25" s="63">
        <f>(40725+40725)*D25</f>
        <v>63156.33</v>
      </c>
      <c r="H25" s="63">
        <f>(36225+36225)*D25</f>
        <v>56177.729999999996</v>
      </c>
      <c r="I25" s="63">
        <f>(29400+29400)*D25</f>
        <v>45593.52</v>
      </c>
      <c r="J25" s="63">
        <f>(22350+22350)*D25</f>
        <v>34660.379999999997</v>
      </c>
      <c r="K25" s="63">
        <f>(15000+15000)*D25</f>
        <v>23262</v>
      </c>
      <c r="L25" s="63">
        <f>(10200+10200)*D25</f>
        <v>15818.16</v>
      </c>
      <c r="M25" s="63">
        <f>(5175+5175)*D25</f>
        <v>8025.3899999999994</v>
      </c>
      <c r="N25" s="63">
        <v>0</v>
      </c>
      <c r="O25" s="63">
        <v>0</v>
      </c>
      <c r="P25" s="63">
        <v>0</v>
      </c>
      <c r="Q25" s="63">
        <v>0</v>
      </c>
      <c r="R25" s="63">
        <v>0</v>
      </c>
      <c r="S25" s="63">
        <v>0</v>
      </c>
      <c r="T25" s="63">
        <v>0</v>
      </c>
      <c r="U25" s="63">
        <v>0</v>
      </c>
      <c r="V25" s="63">
        <v>0</v>
      </c>
      <c r="W25" s="63">
        <v>0</v>
      </c>
      <c r="X25" s="63">
        <v>0</v>
      </c>
      <c r="Y25" s="63">
        <v>0</v>
      </c>
      <c r="Z25" s="63">
        <v>0</v>
      </c>
      <c r="AA25" s="86">
        <f>SUM(F25:Z25)</f>
        <v>316595.81999999995</v>
      </c>
      <c r="AB25" s="49"/>
    </row>
    <row r="26" spans="1:28">
      <c r="A26" s="85" t="s">
        <v>360</v>
      </c>
      <c r="B26" s="82"/>
      <c r="C26" s="63"/>
      <c r="D26" s="65"/>
      <c r="E26" s="63"/>
      <c r="F26" s="63"/>
      <c r="G26" s="63"/>
      <c r="H26" s="63"/>
      <c r="I26" s="63"/>
      <c r="J26" s="63"/>
      <c r="K26" s="63"/>
      <c r="L26" s="63"/>
      <c r="M26" s="63"/>
      <c r="N26" s="63"/>
      <c r="O26" s="63"/>
      <c r="P26" s="63"/>
      <c r="Q26" s="63"/>
      <c r="R26" s="63"/>
      <c r="S26" s="63"/>
      <c r="T26" s="63"/>
      <c r="U26" s="63"/>
      <c r="V26" s="63"/>
      <c r="W26" s="63"/>
      <c r="X26" s="63"/>
      <c r="Y26" s="63"/>
      <c r="Z26" s="63"/>
      <c r="AA26" s="86"/>
      <c r="AB26" s="49"/>
    </row>
    <row r="27" spans="1:28">
      <c r="A27" s="85"/>
      <c r="B27" s="82"/>
      <c r="C27" s="63"/>
      <c r="D27" s="65"/>
      <c r="E27" s="63"/>
      <c r="F27" s="63"/>
      <c r="G27" s="63"/>
      <c r="H27" s="63"/>
      <c r="I27" s="63"/>
      <c r="J27" s="63"/>
      <c r="K27" s="63"/>
      <c r="L27" s="63"/>
      <c r="M27" s="63"/>
      <c r="N27" s="63"/>
      <c r="O27" s="63"/>
      <c r="P27" s="63"/>
      <c r="Q27" s="63"/>
      <c r="R27" s="63"/>
      <c r="S27" s="63"/>
      <c r="T27" s="63"/>
      <c r="U27" s="63"/>
      <c r="V27" s="63"/>
      <c r="W27" s="63"/>
      <c r="X27" s="63"/>
      <c r="Y27" s="63"/>
      <c r="Z27" s="63"/>
      <c r="AA27" s="86"/>
      <c r="AB27" s="49"/>
    </row>
    <row r="28" spans="1:28">
      <c r="A28" s="85" t="s">
        <v>361</v>
      </c>
      <c r="B28" s="82" t="s">
        <v>323</v>
      </c>
      <c r="C28" s="63"/>
      <c r="D28" s="65"/>
      <c r="E28" s="63"/>
      <c r="F28" s="63">
        <v>300000</v>
      </c>
      <c r="G28" s="63">
        <v>305000</v>
      </c>
      <c r="H28" s="63">
        <v>310000</v>
      </c>
      <c r="I28" s="63">
        <v>320000</v>
      </c>
      <c r="J28" s="63">
        <v>325000</v>
      </c>
      <c r="K28" s="63">
        <v>330000</v>
      </c>
      <c r="L28" s="63">
        <v>335000</v>
      </c>
      <c r="M28" s="63">
        <v>345000</v>
      </c>
      <c r="N28" s="63">
        <v>350000</v>
      </c>
      <c r="O28" s="63">
        <v>360000</v>
      </c>
      <c r="P28" s="63">
        <v>365000</v>
      </c>
      <c r="Q28" s="63">
        <v>370000</v>
      </c>
      <c r="R28" s="63">
        <v>380000</v>
      </c>
      <c r="S28" s="63">
        <v>385000</v>
      </c>
      <c r="T28" s="86">
        <v>395000</v>
      </c>
      <c r="U28" s="63">
        <v>405000</v>
      </c>
      <c r="V28" s="63">
        <v>410000</v>
      </c>
      <c r="W28" s="63">
        <f>420000-274377</f>
        <v>145623</v>
      </c>
      <c r="X28" s="63">
        <v>0</v>
      </c>
      <c r="Y28" s="63">
        <v>0</v>
      </c>
      <c r="Z28" s="63">
        <v>0</v>
      </c>
      <c r="AA28" s="86">
        <f>SUM(F28:Z28)</f>
        <v>6135623</v>
      </c>
      <c r="AB28" s="49"/>
    </row>
    <row r="29" spans="1:28">
      <c r="A29" s="85" t="s">
        <v>339</v>
      </c>
      <c r="B29" s="82" t="s">
        <v>324</v>
      </c>
      <c r="C29" s="63"/>
      <c r="D29" s="65"/>
      <c r="E29" s="63"/>
      <c r="F29" s="63">
        <f>64150*2</f>
        <v>128300</v>
      </c>
      <c r="G29" s="63">
        <f>61150*2</f>
        <v>122300</v>
      </c>
      <c r="H29" s="63">
        <f>58100*2</f>
        <v>116200</v>
      </c>
      <c r="I29" s="63">
        <f>55000*2</f>
        <v>110000</v>
      </c>
      <c r="J29" s="63">
        <f>51800*2</f>
        <v>103600</v>
      </c>
      <c r="K29" s="63">
        <f>48550*2</f>
        <v>97100</v>
      </c>
      <c r="L29" s="63">
        <f>45250*2</f>
        <v>90500</v>
      </c>
      <c r="M29" s="63">
        <f>41900*2</f>
        <v>83800</v>
      </c>
      <c r="N29" s="63">
        <f>38450*2</f>
        <v>76900</v>
      </c>
      <c r="O29" s="63">
        <f>34950*2</f>
        <v>69900</v>
      </c>
      <c r="P29" s="63">
        <f>31350*2</f>
        <v>62700</v>
      </c>
      <c r="Q29" s="63">
        <f>27700*2</f>
        <v>55400</v>
      </c>
      <c r="R29" s="63">
        <f>24000*2</f>
        <v>48000</v>
      </c>
      <c r="S29" s="63">
        <f>20200*2</f>
        <v>40400</v>
      </c>
      <c r="T29" s="63">
        <v>32600</v>
      </c>
      <c r="U29" s="63">
        <v>24700</v>
      </c>
      <c r="V29" s="63">
        <v>16600</v>
      </c>
      <c r="W29" s="63">
        <v>8400</v>
      </c>
      <c r="X29" s="63">
        <v>0</v>
      </c>
      <c r="Y29" s="63">
        <v>0</v>
      </c>
      <c r="Z29" s="63">
        <v>0</v>
      </c>
      <c r="AA29" s="86">
        <f>SUM(F29:Z29)</f>
        <v>1287400</v>
      </c>
      <c r="AB29" s="49"/>
    </row>
    <row r="30" spans="1:28">
      <c r="A30" s="85"/>
      <c r="B30" s="82"/>
      <c r="C30" s="63"/>
      <c r="D30" s="65"/>
      <c r="E30" s="63"/>
      <c r="F30" s="63"/>
      <c r="G30" s="63"/>
      <c r="H30" s="63"/>
      <c r="I30" s="63"/>
      <c r="J30" s="63"/>
      <c r="K30" s="63"/>
      <c r="L30" s="63"/>
      <c r="M30" s="63"/>
      <c r="N30" s="63"/>
      <c r="O30" s="63"/>
      <c r="P30" s="63"/>
      <c r="Q30" s="63"/>
      <c r="R30" s="63"/>
      <c r="S30" s="63"/>
      <c r="T30" s="63"/>
      <c r="U30" s="63"/>
      <c r="V30" s="63"/>
      <c r="W30" s="63"/>
      <c r="X30" s="63"/>
      <c r="Y30" s="63"/>
      <c r="Z30" s="63"/>
      <c r="AA30" s="86"/>
      <c r="AB30" s="49"/>
    </row>
    <row r="31" spans="1:28">
      <c r="A31" s="85" t="s">
        <v>362</v>
      </c>
      <c r="B31" s="82" t="s">
        <v>323</v>
      </c>
      <c r="C31" s="63"/>
      <c r="D31" s="65"/>
      <c r="E31" s="63"/>
      <c r="F31" s="63">
        <v>170000</v>
      </c>
      <c r="G31" s="63">
        <v>175000</v>
      </c>
      <c r="H31" s="63">
        <v>175000</v>
      </c>
      <c r="I31" s="63">
        <v>180000</v>
      </c>
      <c r="J31" s="63">
        <v>185000</v>
      </c>
      <c r="K31" s="63">
        <v>185000</v>
      </c>
      <c r="L31" s="63">
        <v>190000</v>
      </c>
      <c r="M31" s="63">
        <v>195000</v>
      </c>
      <c r="N31" s="63">
        <v>200000</v>
      </c>
      <c r="O31" s="63">
        <v>205000</v>
      </c>
      <c r="P31" s="63">
        <v>205000</v>
      </c>
      <c r="Q31" s="63">
        <v>210000</v>
      </c>
      <c r="R31" s="63">
        <v>215000</v>
      </c>
      <c r="S31" s="63">
        <v>220000</v>
      </c>
      <c r="T31" s="63">
        <v>225000</v>
      </c>
      <c r="U31" s="63">
        <v>230000</v>
      </c>
      <c r="V31" s="63">
        <v>235000</v>
      </c>
      <c r="W31" s="63">
        <f>240000-20012</f>
        <v>219988</v>
      </c>
      <c r="X31" s="63">
        <v>0</v>
      </c>
      <c r="Y31" s="63">
        <v>0</v>
      </c>
      <c r="Z31" s="63">
        <v>0</v>
      </c>
      <c r="AA31" s="86">
        <f>SUM(F31:Z31)</f>
        <v>3619988</v>
      </c>
      <c r="AB31" s="49"/>
    </row>
    <row r="32" spans="1:28">
      <c r="A32" s="85" t="s">
        <v>340</v>
      </c>
      <c r="B32" s="82" t="s">
        <v>324</v>
      </c>
      <c r="C32" s="63"/>
      <c r="D32" s="65"/>
      <c r="E32" s="63"/>
      <c r="F32" s="63">
        <f>41300+39600</f>
        <v>80900</v>
      </c>
      <c r="G32" s="63">
        <f>39600+37850</f>
        <v>77450</v>
      </c>
      <c r="H32" s="63">
        <f>37850+36100</f>
        <v>73950</v>
      </c>
      <c r="I32" s="63">
        <f>36100+34300</f>
        <v>70400</v>
      </c>
      <c r="J32" s="63">
        <f>34300+32450</f>
        <v>66750</v>
      </c>
      <c r="K32" s="63">
        <f>32450+30600</f>
        <v>63050</v>
      </c>
      <c r="L32" s="63">
        <f>30600+28700</f>
        <v>59300</v>
      </c>
      <c r="M32" s="63">
        <f>28700+26750</f>
        <v>55450</v>
      </c>
      <c r="N32" s="63">
        <f>26750+24750</f>
        <v>51500</v>
      </c>
      <c r="O32" s="63">
        <f>24750+22700</f>
        <v>47450</v>
      </c>
      <c r="P32" s="63">
        <f>22700+20650</f>
        <v>43350</v>
      </c>
      <c r="Q32" s="63">
        <f>20650+18550</f>
        <v>39200</v>
      </c>
      <c r="R32" s="63">
        <f>18550+16400</f>
        <v>34950</v>
      </c>
      <c r="S32" s="63">
        <f>16400+14200</f>
        <v>30600</v>
      </c>
      <c r="T32" s="63">
        <f>14200+11950</f>
        <v>26150</v>
      </c>
      <c r="U32" s="63">
        <v>21600</v>
      </c>
      <c r="V32" s="63">
        <v>16950</v>
      </c>
      <c r="W32" s="63">
        <v>12200</v>
      </c>
      <c r="X32" s="63">
        <v>0</v>
      </c>
      <c r="Y32" s="63">
        <v>0</v>
      </c>
      <c r="Z32" s="63">
        <v>0</v>
      </c>
      <c r="AA32" s="86">
        <f>SUM(F32:Z32)</f>
        <v>871200</v>
      </c>
      <c r="AB32" s="49"/>
    </row>
    <row r="33" spans="1:28">
      <c r="A33" s="85"/>
      <c r="B33" s="82"/>
      <c r="C33" s="63"/>
      <c r="D33" s="65"/>
      <c r="E33" s="63"/>
      <c r="F33" s="63"/>
      <c r="G33" s="63"/>
      <c r="H33" s="63"/>
      <c r="I33" s="63"/>
      <c r="J33" s="63"/>
      <c r="K33" s="63"/>
      <c r="L33" s="63"/>
      <c r="M33" s="63"/>
      <c r="N33" s="63"/>
      <c r="O33" s="63"/>
      <c r="P33" s="63"/>
      <c r="Q33" s="63"/>
      <c r="R33" s="63"/>
      <c r="S33" s="63"/>
      <c r="T33" s="63"/>
      <c r="U33" s="63"/>
      <c r="V33" s="63"/>
      <c r="W33" s="63"/>
      <c r="X33" s="63"/>
      <c r="Y33" s="63"/>
      <c r="Z33" s="63"/>
      <c r="AA33" s="86"/>
      <c r="AB33" s="49"/>
    </row>
    <row r="34" spans="1:28">
      <c r="A34" s="85" t="s">
        <v>341</v>
      </c>
      <c r="B34" s="82" t="s">
        <v>323</v>
      </c>
      <c r="C34" s="63"/>
      <c r="D34" s="65"/>
      <c r="E34" s="63"/>
      <c r="F34" s="63">
        <v>386569.44</v>
      </c>
      <c r="G34" s="63">
        <v>394343.23</v>
      </c>
      <c r="H34" s="63">
        <v>402117.02</v>
      </c>
      <c r="I34" s="63">
        <v>409890.81</v>
      </c>
      <c r="J34" s="63">
        <v>418371.31</v>
      </c>
      <c r="K34" s="63">
        <v>426851.81</v>
      </c>
      <c r="L34" s="63">
        <v>435332.31</v>
      </c>
      <c r="M34" s="63">
        <v>443812.81</v>
      </c>
      <c r="N34" s="63">
        <v>453000.02</v>
      </c>
      <c r="O34" s="63">
        <v>461480.52</v>
      </c>
      <c r="P34" s="63">
        <v>471374.44</v>
      </c>
      <c r="Q34" s="63">
        <v>480561.64</v>
      </c>
      <c r="R34" s="63">
        <v>499642.77</v>
      </c>
      <c r="S34" s="63">
        <v>510243.39</v>
      </c>
      <c r="T34" s="63">
        <v>520137.31</v>
      </c>
      <c r="U34" s="63">
        <v>530737.93000000005</v>
      </c>
      <c r="V34" s="63">
        <v>541338.56000000006</v>
      </c>
      <c r="W34" s="63">
        <f>551939.18-485911.5+67337</f>
        <v>133364.68000000005</v>
      </c>
      <c r="X34" s="63">
        <v>0</v>
      </c>
      <c r="Y34" s="63">
        <v>0</v>
      </c>
      <c r="Z34" s="63">
        <v>0</v>
      </c>
      <c r="AA34" s="86">
        <f>SUM(F34:Z34)</f>
        <v>7919170</v>
      </c>
      <c r="AB34" s="49"/>
    </row>
    <row r="35" spans="1:28">
      <c r="A35" s="85" t="s">
        <v>342</v>
      </c>
      <c r="B35" s="82" t="s">
        <v>324</v>
      </c>
      <c r="C35" s="66"/>
      <c r="D35" s="66"/>
      <c r="E35" s="66"/>
      <c r="F35" s="66">
        <f>88282*2</f>
        <v>176564</v>
      </c>
      <c r="G35" s="66">
        <f>84416.31*2</f>
        <v>168832.62</v>
      </c>
      <c r="H35" s="66">
        <f>80472.87*2</f>
        <v>160945.74</v>
      </c>
      <c r="I35" s="66">
        <f>76451.7*2</f>
        <v>152903.4</v>
      </c>
      <c r="J35" s="66">
        <f>72352.8*2</f>
        <v>144705.60000000001</v>
      </c>
      <c r="K35" s="66">
        <f>68169.08*2</f>
        <v>136338.16</v>
      </c>
      <c r="L35" s="66">
        <f>63900.56*2</f>
        <v>127801.12</v>
      </c>
      <c r="M35" s="66">
        <f>59547.24*2</f>
        <v>119094.48</v>
      </c>
      <c r="N35" s="66">
        <f>55109.11*2</f>
        <v>110218.22</v>
      </c>
      <c r="O35" s="66">
        <f>50579.11*2</f>
        <v>101158.22</v>
      </c>
      <c r="P35" s="66">
        <f>45964.31*2</f>
        <v>91928.62</v>
      </c>
      <c r="Q35" s="66">
        <f>41250.56*2</f>
        <v>82501.119999999995</v>
      </c>
      <c r="R35" s="66">
        <f>36444.95*2</f>
        <v>72889.899999999994</v>
      </c>
      <c r="S35" s="66">
        <v>63080.78</v>
      </c>
      <c r="T35" s="66">
        <v>53087.92</v>
      </c>
      <c r="U35" s="66">
        <v>42883.06</v>
      </c>
      <c r="V35" s="66">
        <v>32480.32</v>
      </c>
      <c r="W35" s="66">
        <v>21865.56</v>
      </c>
      <c r="X35" s="66">
        <v>0</v>
      </c>
      <c r="Y35" s="66">
        <v>0</v>
      </c>
      <c r="Z35" s="66">
        <v>0</v>
      </c>
      <c r="AA35" s="90">
        <f>SUM(F35:Z35)</f>
        <v>1859278.8400000003</v>
      </c>
      <c r="AB35" s="64"/>
    </row>
    <row r="36" spans="1:28">
      <c r="A36" s="84"/>
      <c r="B36" s="82"/>
      <c r="C36" s="63"/>
      <c r="D36" s="63"/>
      <c r="E36" s="63"/>
      <c r="F36" s="63"/>
      <c r="G36" s="63"/>
      <c r="H36" s="63"/>
      <c r="I36" s="63"/>
      <c r="J36" s="63"/>
      <c r="K36" s="63"/>
      <c r="L36" s="63"/>
      <c r="M36" s="63"/>
      <c r="N36" s="63"/>
      <c r="O36" s="63"/>
      <c r="P36" s="63"/>
      <c r="Q36" s="63"/>
      <c r="R36" s="63"/>
      <c r="S36" s="63"/>
      <c r="T36" s="63"/>
      <c r="U36" s="63"/>
      <c r="V36" s="63"/>
      <c r="W36" s="63"/>
      <c r="X36" s="63"/>
      <c r="Y36" s="63"/>
      <c r="Z36" s="63"/>
      <c r="AA36" s="86"/>
      <c r="AB36" s="49"/>
    </row>
    <row r="37" spans="1:28">
      <c r="A37" s="84" t="s">
        <v>326</v>
      </c>
      <c r="B37" s="82"/>
      <c r="C37" s="86"/>
      <c r="D37" s="86"/>
      <c r="E37" s="86"/>
      <c r="F37" s="86">
        <f t="shared" ref="F37:Z37" si="1">F8+F11+F15+F18+F21+F24+F28+F31+F34</f>
        <v>2125230.25</v>
      </c>
      <c r="G37" s="86">
        <f t="shared" si="1"/>
        <v>2179151.02</v>
      </c>
      <c r="H37" s="86">
        <f t="shared" si="1"/>
        <v>2220471.08</v>
      </c>
      <c r="I37" s="86">
        <f t="shared" si="1"/>
        <v>2275064.89</v>
      </c>
      <c r="J37" s="86">
        <f t="shared" si="1"/>
        <v>2335741.79</v>
      </c>
      <c r="K37" s="86">
        <f t="shared" si="1"/>
        <v>2238419.6399999997</v>
      </c>
      <c r="L37" s="86">
        <f t="shared" si="1"/>
        <v>2288720.1599999997</v>
      </c>
      <c r="M37" s="86">
        <f t="shared" si="1"/>
        <v>2348085.42</v>
      </c>
      <c r="N37" s="86">
        <f t="shared" si="1"/>
        <v>2135778.06</v>
      </c>
      <c r="O37" s="86">
        <f t="shared" si="1"/>
        <v>2186620</v>
      </c>
      <c r="P37" s="86">
        <f t="shared" si="1"/>
        <v>2229701.6800000002</v>
      </c>
      <c r="Q37" s="86">
        <f t="shared" si="1"/>
        <v>2260142.69</v>
      </c>
      <c r="R37" s="86">
        <f t="shared" si="1"/>
        <v>2133696.29</v>
      </c>
      <c r="S37" s="86">
        <f t="shared" si="1"/>
        <v>1629999.75</v>
      </c>
      <c r="T37" s="86">
        <f t="shared" si="1"/>
        <v>1670253.85</v>
      </c>
      <c r="U37" s="86">
        <f t="shared" si="1"/>
        <v>1606371.44</v>
      </c>
      <c r="V37" s="86">
        <f t="shared" si="1"/>
        <v>1444154.1600000001</v>
      </c>
      <c r="W37" s="86">
        <f t="shared" si="1"/>
        <v>762575.6</v>
      </c>
      <c r="X37" s="86">
        <f t="shared" si="1"/>
        <v>30654.55</v>
      </c>
      <c r="Y37" s="86">
        <f t="shared" si="1"/>
        <v>0</v>
      </c>
      <c r="Z37" s="86">
        <f t="shared" si="1"/>
        <v>0</v>
      </c>
      <c r="AA37" s="86">
        <f>SUM(F37:Z37)</f>
        <v>36100832.32</v>
      </c>
      <c r="AB37" s="67"/>
    </row>
    <row r="38" spans="1:28" s="68" customFormat="1">
      <c r="A38" s="81"/>
      <c r="B38" s="91"/>
      <c r="C38" s="69"/>
      <c r="D38" s="69"/>
      <c r="E38" s="69"/>
      <c r="F38" s="70"/>
      <c r="G38" s="70"/>
      <c r="H38" s="70"/>
      <c r="I38" s="70"/>
      <c r="J38" s="70"/>
      <c r="K38" s="92"/>
      <c r="L38" s="92"/>
      <c r="M38" s="92"/>
      <c r="N38" s="92"/>
      <c r="O38" s="92"/>
      <c r="P38" s="92"/>
      <c r="Q38" s="92"/>
      <c r="R38" s="92"/>
      <c r="S38" s="92"/>
      <c r="T38" s="92"/>
      <c r="U38" s="92"/>
      <c r="V38" s="92"/>
      <c r="W38" s="92"/>
      <c r="X38" s="92"/>
      <c r="Y38" s="92"/>
      <c r="Z38" s="92"/>
      <c r="AA38" s="93"/>
    </row>
    <row r="39" spans="1:28">
      <c r="A39" s="84" t="s">
        <v>327</v>
      </c>
      <c r="B39" s="82"/>
      <c r="C39" s="86"/>
      <c r="D39" s="86"/>
      <c r="E39" s="86"/>
      <c r="F39" s="86">
        <f t="shared" ref="F39:Z39" si="2">SUM(F9,F12,F16,F19,F22,F25,F29,F32,F35)</f>
        <v>826688.85</v>
      </c>
      <c r="G39" s="86">
        <f t="shared" si="2"/>
        <v>781534.28999999992</v>
      </c>
      <c r="H39" s="86">
        <f t="shared" si="2"/>
        <v>735188.87999999989</v>
      </c>
      <c r="I39" s="86">
        <f t="shared" si="2"/>
        <v>684197.51</v>
      </c>
      <c r="J39" s="86">
        <f t="shared" si="2"/>
        <v>631773.99</v>
      </c>
      <c r="K39" s="86">
        <f t="shared" si="2"/>
        <v>577856.11</v>
      </c>
      <c r="L39" s="86">
        <f t="shared" si="2"/>
        <v>526956.78</v>
      </c>
      <c r="M39" s="86">
        <f t="shared" si="2"/>
        <v>474708.77</v>
      </c>
      <c r="N39" s="86">
        <f t="shared" si="2"/>
        <v>421009.92999999993</v>
      </c>
      <c r="O39" s="86">
        <f t="shared" si="2"/>
        <v>374284.44999999995</v>
      </c>
      <c r="P39" s="86">
        <f t="shared" si="2"/>
        <v>326386.53999999998</v>
      </c>
      <c r="Q39" s="86">
        <f t="shared" si="2"/>
        <v>277352.01</v>
      </c>
      <c r="R39" s="86">
        <f t="shared" si="2"/>
        <v>227379.41999999998</v>
      </c>
      <c r="S39" s="86">
        <f t="shared" si="2"/>
        <v>185083.49</v>
      </c>
      <c r="T39" s="86">
        <f t="shared" si="2"/>
        <v>147539.66999999998</v>
      </c>
      <c r="U39" s="86">
        <f t="shared" si="2"/>
        <v>111249.61</v>
      </c>
      <c r="V39" s="86">
        <f t="shared" si="2"/>
        <v>79065.7</v>
      </c>
      <c r="W39" s="86">
        <f t="shared" si="2"/>
        <v>49055.56</v>
      </c>
      <c r="X39" s="86">
        <f t="shared" si="2"/>
        <v>0</v>
      </c>
      <c r="Y39" s="86">
        <f t="shared" si="2"/>
        <v>0</v>
      </c>
      <c r="Z39" s="86">
        <f t="shared" si="2"/>
        <v>0</v>
      </c>
      <c r="AA39" s="86">
        <f>SUM(F39:Z39)</f>
        <v>7437311.5599999996</v>
      </c>
      <c r="AB39" s="49"/>
    </row>
    <row r="40" spans="1:28" s="68" customFormat="1">
      <c r="A40" s="81"/>
      <c r="B40" s="91"/>
      <c r="C40" s="69"/>
      <c r="D40" s="69"/>
      <c r="E40" s="69"/>
      <c r="F40" s="70"/>
      <c r="G40" s="70"/>
      <c r="H40" s="70"/>
      <c r="I40" s="70"/>
      <c r="J40" s="70"/>
      <c r="K40" s="92"/>
      <c r="L40" s="92"/>
      <c r="M40" s="92"/>
      <c r="N40" s="92"/>
      <c r="O40" s="92"/>
      <c r="P40" s="92"/>
      <c r="Q40" s="92"/>
      <c r="R40" s="92"/>
      <c r="S40" s="92"/>
      <c r="T40" s="92"/>
      <c r="U40" s="92"/>
      <c r="V40" s="92"/>
      <c r="W40" s="92"/>
      <c r="X40" s="94"/>
      <c r="Y40" s="94"/>
      <c r="Z40" s="94"/>
      <c r="AA40" s="95"/>
    </row>
    <row r="41" spans="1:28">
      <c r="A41" s="84" t="s">
        <v>328</v>
      </c>
      <c r="B41" s="82"/>
      <c r="C41" s="71"/>
      <c r="D41" s="71"/>
      <c r="E41" s="71"/>
      <c r="F41" s="47">
        <f t="shared" ref="F41:Z41" si="3">F37+F39</f>
        <v>2951919.1</v>
      </c>
      <c r="G41" s="47">
        <f t="shared" si="3"/>
        <v>2960685.31</v>
      </c>
      <c r="H41" s="47">
        <f t="shared" si="3"/>
        <v>2955659.96</v>
      </c>
      <c r="I41" s="47">
        <f t="shared" si="3"/>
        <v>2959262.4000000004</v>
      </c>
      <c r="J41" s="47">
        <f t="shared" si="3"/>
        <v>2967515.7800000003</v>
      </c>
      <c r="K41" s="47">
        <f t="shared" si="3"/>
        <v>2816275.7499999995</v>
      </c>
      <c r="L41" s="47">
        <f t="shared" si="3"/>
        <v>2815676.9399999995</v>
      </c>
      <c r="M41" s="47">
        <f t="shared" si="3"/>
        <v>2822794.19</v>
      </c>
      <c r="N41" s="47">
        <f t="shared" si="3"/>
        <v>2556787.9900000002</v>
      </c>
      <c r="O41" s="47">
        <f t="shared" si="3"/>
        <v>2560904.4500000002</v>
      </c>
      <c r="P41" s="47">
        <f t="shared" si="3"/>
        <v>2556088.2200000002</v>
      </c>
      <c r="Q41" s="47">
        <f t="shared" si="3"/>
        <v>2537494.7000000002</v>
      </c>
      <c r="R41" s="47">
        <f t="shared" si="3"/>
        <v>2361075.71</v>
      </c>
      <c r="S41" s="47">
        <f t="shared" si="3"/>
        <v>1815083.24</v>
      </c>
      <c r="T41" s="47">
        <f t="shared" si="3"/>
        <v>1817793.52</v>
      </c>
      <c r="U41" s="47">
        <f t="shared" si="3"/>
        <v>1717621.05</v>
      </c>
      <c r="V41" s="47">
        <f t="shared" si="3"/>
        <v>1523219.86</v>
      </c>
      <c r="W41" s="47">
        <f t="shared" si="3"/>
        <v>811631.15999999992</v>
      </c>
      <c r="X41" s="47">
        <f t="shared" si="3"/>
        <v>30654.55</v>
      </c>
      <c r="Y41" s="47">
        <f t="shared" si="3"/>
        <v>0</v>
      </c>
      <c r="Z41" s="47">
        <f t="shared" si="3"/>
        <v>0</v>
      </c>
      <c r="AA41" s="86">
        <f>SUM(F41:Z41)</f>
        <v>43538143.879999995</v>
      </c>
      <c r="AB41" s="60"/>
    </row>
    <row r="42" spans="1:28" ht="15">
      <c r="A42" s="84"/>
      <c r="B42" s="82"/>
      <c r="C42" s="96"/>
      <c r="D42" s="96"/>
      <c r="E42" s="96"/>
      <c r="F42" s="82"/>
      <c r="G42" s="82"/>
      <c r="H42" s="82"/>
      <c r="I42" s="82"/>
      <c r="J42" s="82"/>
      <c r="K42" s="82"/>
      <c r="L42" s="82"/>
      <c r="M42" s="82"/>
      <c r="N42" s="82"/>
      <c r="O42" s="82"/>
      <c r="P42" s="82"/>
      <c r="Q42" s="82"/>
      <c r="R42" s="82"/>
      <c r="S42" s="82"/>
      <c r="T42" s="82"/>
      <c r="U42" s="82"/>
      <c r="V42" s="82"/>
      <c r="W42" s="82"/>
      <c r="X42" s="82"/>
      <c r="Y42" s="82"/>
      <c r="Z42" s="82"/>
      <c r="AA42" s="82"/>
    </row>
    <row r="43" spans="1:28">
      <c r="A43" s="84"/>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row>
    <row r="44" spans="1:28">
      <c r="A44" s="81" t="s">
        <v>329</v>
      </c>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6"/>
    </row>
    <row r="45" spans="1:28">
      <c r="A45" s="8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6"/>
    </row>
    <row r="46" spans="1:28">
      <c r="A46" s="84" t="s">
        <v>363</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6"/>
    </row>
    <row r="47" spans="1:28">
      <c r="A47" s="84" t="s">
        <v>364</v>
      </c>
      <c r="B47" s="82" t="s">
        <v>323</v>
      </c>
      <c r="C47" s="86"/>
      <c r="D47" s="86"/>
      <c r="E47" s="86"/>
      <c r="F47" s="86">
        <v>1200000</v>
      </c>
      <c r="G47" s="86">
        <v>1280000</v>
      </c>
      <c r="H47" s="86">
        <v>1360000</v>
      </c>
      <c r="I47" s="86">
        <v>0</v>
      </c>
      <c r="J47" s="86">
        <v>0</v>
      </c>
      <c r="K47" s="86">
        <v>0</v>
      </c>
      <c r="L47" s="86">
        <v>0</v>
      </c>
      <c r="M47" s="86">
        <v>0</v>
      </c>
      <c r="N47" s="86">
        <v>0</v>
      </c>
      <c r="O47" s="86">
        <v>0</v>
      </c>
      <c r="P47" s="86">
        <v>0</v>
      </c>
      <c r="Q47" s="86">
        <v>0</v>
      </c>
      <c r="R47" s="86">
        <v>0</v>
      </c>
      <c r="S47" s="86">
        <v>0</v>
      </c>
      <c r="T47" s="86">
        <v>0</v>
      </c>
      <c r="U47" s="86">
        <v>0</v>
      </c>
      <c r="V47" s="86">
        <v>0</v>
      </c>
      <c r="W47" s="86">
        <v>0</v>
      </c>
      <c r="X47" s="86">
        <v>0</v>
      </c>
      <c r="Y47" s="86">
        <v>0</v>
      </c>
      <c r="Z47" s="86">
        <v>0</v>
      </c>
      <c r="AA47" s="86">
        <f>SUM(F47:Z47)</f>
        <v>3840000</v>
      </c>
      <c r="AB47" s="49"/>
    </row>
    <row r="48" spans="1:28">
      <c r="A48" s="97" t="s">
        <v>365</v>
      </c>
      <c r="B48" s="82" t="s">
        <v>324</v>
      </c>
      <c r="C48" s="86"/>
      <c r="D48" s="86"/>
      <c r="E48" s="86"/>
      <c r="F48" s="86">
        <f>62600+44600</f>
        <v>107200</v>
      </c>
      <c r="G48" s="86">
        <f>44600+23800</f>
        <v>68400</v>
      </c>
      <c r="H48" s="86">
        <f>23800</f>
        <v>23800</v>
      </c>
      <c r="I48" s="86">
        <v>0</v>
      </c>
      <c r="J48" s="86">
        <v>0</v>
      </c>
      <c r="K48" s="86">
        <v>0</v>
      </c>
      <c r="L48" s="88">
        <v>0</v>
      </c>
      <c r="M48" s="88">
        <v>0</v>
      </c>
      <c r="N48" s="88">
        <v>0</v>
      </c>
      <c r="O48" s="88">
        <v>0</v>
      </c>
      <c r="P48" s="88">
        <v>0</v>
      </c>
      <c r="Q48" s="88">
        <v>0</v>
      </c>
      <c r="R48" s="88">
        <v>0</v>
      </c>
      <c r="S48" s="88">
        <v>0</v>
      </c>
      <c r="T48" s="88">
        <v>0</v>
      </c>
      <c r="U48" s="88">
        <v>0</v>
      </c>
      <c r="V48" s="88">
        <v>0</v>
      </c>
      <c r="W48" s="88">
        <v>0</v>
      </c>
      <c r="X48" s="88">
        <v>0</v>
      </c>
      <c r="Y48" s="88">
        <v>0</v>
      </c>
      <c r="Z48" s="88">
        <v>0</v>
      </c>
      <c r="AA48" s="86">
        <f>SUM(F48:Z48)</f>
        <v>199400</v>
      </c>
    </row>
    <row r="49" spans="1:29">
      <c r="A49" s="82"/>
      <c r="B49" s="82"/>
      <c r="C49" s="86"/>
      <c r="D49" s="86"/>
      <c r="E49" s="86"/>
      <c r="F49" s="82"/>
      <c r="G49" s="82"/>
      <c r="H49" s="82"/>
      <c r="I49" s="82"/>
      <c r="J49" s="82"/>
      <c r="K49" s="82"/>
      <c r="L49" s="82"/>
      <c r="M49" s="82"/>
      <c r="N49" s="82"/>
      <c r="O49" s="82"/>
      <c r="P49" s="82"/>
      <c r="Q49" s="82"/>
      <c r="R49" s="82"/>
      <c r="S49" s="82"/>
      <c r="T49" s="82"/>
      <c r="U49" s="82"/>
      <c r="V49" s="82"/>
      <c r="W49" s="82"/>
      <c r="X49" s="82"/>
      <c r="Y49" s="82"/>
      <c r="Z49" s="82"/>
      <c r="AA49" s="86"/>
    </row>
    <row r="50" spans="1:29" hidden="1">
      <c r="A50" s="82"/>
      <c r="B50" s="82"/>
      <c r="C50" s="86"/>
      <c r="D50" s="86"/>
      <c r="E50" s="86"/>
      <c r="F50" s="82"/>
      <c r="G50" s="82"/>
      <c r="H50" s="82"/>
      <c r="I50" s="82"/>
      <c r="J50" s="82"/>
      <c r="K50" s="82"/>
      <c r="L50" s="82"/>
      <c r="M50" s="82"/>
      <c r="N50" s="82"/>
      <c r="O50" s="82"/>
      <c r="P50" s="82"/>
      <c r="Q50" s="82"/>
      <c r="R50" s="82"/>
      <c r="S50" s="82"/>
      <c r="T50" s="82"/>
      <c r="U50" s="82"/>
      <c r="V50" s="82"/>
      <c r="W50" s="82"/>
      <c r="X50" s="82"/>
      <c r="Y50" s="82"/>
      <c r="Z50" s="82"/>
      <c r="AA50" s="86"/>
    </row>
    <row r="51" spans="1:29" hidden="1">
      <c r="A51" s="84" t="s">
        <v>367</v>
      </c>
      <c r="B51" s="82" t="s">
        <v>323</v>
      </c>
      <c r="C51" s="86"/>
      <c r="D51" s="86"/>
      <c r="E51" s="86"/>
      <c r="F51" s="86">
        <v>129584.87</v>
      </c>
      <c r="G51" s="86">
        <v>132008.10999999999</v>
      </c>
      <c r="H51" s="86">
        <v>134476.66</v>
      </c>
      <c r="I51" s="86">
        <v>136991.38</v>
      </c>
      <c r="J51" s="86">
        <v>139553.12</v>
      </c>
      <c r="K51" s="86">
        <v>0</v>
      </c>
      <c r="L51" s="86">
        <v>0</v>
      </c>
      <c r="M51" s="86">
        <v>0</v>
      </c>
      <c r="N51" s="86">
        <v>0</v>
      </c>
      <c r="O51" s="86">
        <v>0</v>
      </c>
      <c r="P51" s="86">
        <v>0</v>
      </c>
      <c r="Q51" s="86">
        <v>0</v>
      </c>
      <c r="R51" s="86">
        <v>0</v>
      </c>
      <c r="S51" s="86">
        <v>0</v>
      </c>
      <c r="T51" s="86">
        <v>0</v>
      </c>
      <c r="U51" s="86">
        <v>0</v>
      </c>
      <c r="V51" s="86">
        <v>0</v>
      </c>
      <c r="W51" s="86">
        <v>0</v>
      </c>
      <c r="X51" s="86">
        <v>0</v>
      </c>
      <c r="Y51" s="86">
        <v>0</v>
      </c>
      <c r="Z51" s="86">
        <v>0</v>
      </c>
      <c r="AA51" s="86">
        <f>SUM(F51:W51)</f>
        <v>672614.14</v>
      </c>
      <c r="AB51" s="72"/>
    </row>
    <row r="52" spans="1:29" hidden="1">
      <c r="A52" s="82" t="s">
        <v>368</v>
      </c>
      <c r="B52" s="82" t="s">
        <v>324</v>
      </c>
      <c r="C52" s="86"/>
      <c r="D52" s="86"/>
      <c r="E52" s="86"/>
      <c r="F52" s="88">
        <v>12577.89</v>
      </c>
      <c r="G52" s="88">
        <v>10154.65</v>
      </c>
      <c r="H52" s="88">
        <v>7686.1</v>
      </c>
      <c r="I52" s="88">
        <v>5171.38</v>
      </c>
      <c r="J52" s="88">
        <v>2609.64</v>
      </c>
      <c r="K52" s="88">
        <v>0</v>
      </c>
      <c r="L52" s="88">
        <v>0</v>
      </c>
      <c r="M52" s="88">
        <v>0</v>
      </c>
      <c r="N52" s="88">
        <v>0</v>
      </c>
      <c r="O52" s="88">
        <v>0</v>
      </c>
      <c r="P52" s="88">
        <v>0</v>
      </c>
      <c r="Q52" s="88">
        <v>0</v>
      </c>
      <c r="R52" s="88">
        <v>0</v>
      </c>
      <c r="S52" s="88">
        <v>0</v>
      </c>
      <c r="T52" s="88">
        <v>0</v>
      </c>
      <c r="U52" s="88">
        <v>0</v>
      </c>
      <c r="V52" s="88">
        <v>0</v>
      </c>
      <c r="W52" s="88">
        <v>0</v>
      </c>
      <c r="X52" s="88">
        <v>0</v>
      </c>
      <c r="Y52" s="88">
        <v>0</v>
      </c>
      <c r="Z52" s="88">
        <v>0</v>
      </c>
      <c r="AA52" s="86">
        <f>SUM(F52:W52)</f>
        <v>38199.659999999996</v>
      </c>
      <c r="AB52" s="72"/>
    </row>
    <row r="53" spans="1:29" hidden="1">
      <c r="A53" s="85"/>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6"/>
    </row>
    <row r="54" spans="1:29">
      <c r="A54" s="85" t="s">
        <v>325</v>
      </c>
      <c r="B54" s="82" t="s">
        <v>323</v>
      </c>
      <c r="C54" s="82"/>
      <c r="D54" s="82"/>
      <c r="E54" s="82"/>
      <c r="F54" s="63">
        <f>435000*D55+13600</f>
        <v>111301</v>
      </c>
      <c r="G54" s="63">
        <f>450000*D55+13600</f>
        <v>114670</v>
      </c>
      <c r="H54" s="63">
        <f>455000*D55+13600</f>
        <v>115793</v>
      </c>
      <c r="I54" s="63">
        <f>470000*D55+13600</f>
        <v>119162</v>
      </c>
      <c r="J54" s="63">
        <f>490000*D55+13600</f>
        <v>123654</v>
      </c>
      <c r="K54" s="63">
        <f>320000*D55+13600</f>
        <v>85472</v>
      </c>
      <c r="L54" s="63">
        <f>335000*D55+13600</f>
        <v>88841</v>
      </c>
      <c r="M54" s="63">
        <f>345000*D55+13600+57</f>
        <v>91144</v>
      </c>
      <c r="N54" s="63">
        <v>0</v>
      </c>
      <c r="O54" s="86">
        <v>0</v>
      </c>
      <c r="P54" s="86">
        <v>0</v>
      </c>
      <c r="Q54" s="86">
        <v>0</v>
      </c>
      <c r="R54" s="86">
        <v>0</v>
      </c>
      <c r="S54" s="86">
        <v>0</v>
      </c>
      <c r="T54" s="86">
        <v>0</v>
      </c>
      <c r="U54" s="86">
        <v>0</v>
      </c>
      <c r="V54" s="86">
        <v>0</v>
      </c>
      <c r="W54" s="86">
        <v>0</v>
      </c>
      <c r="X54" s="86">
        <v>0</v>
      </c>
      <c r="Y54" s="86">
        <v>0</v>
      </c>
      <c r="Z54" s="86">
        <v>0</v>
      </c>
      <c r="AA54" s="86">
        <f>SUM(F54:Z54)</f>
        <v>850037</v>
      </c>
      <c r="AB54" s="64"/>
      <c r="AC54" s="64"/>
    </row>
    <row r="55" spans="1:29">
      <c r="A55" s="85" t="s">
        <v>359</v>
      </c>
      <c r="B55" s="82" t="s">
        <v>324</v>
      </c>
      <c r="C55" s="82"/>
      <c r="D55" s="82">
        <v>0.22459999999999999</v>
      </c>
      <c r="E55" s="82"/>
      <c r="F55" s="63">
        <f>(45075+45075)*D55</f>
        <v>20247.689999999999</v>
      </c>
      <c r="G55" s="63">
        <f>(40725+40725)*D55</f>
        <v>18293.669999999998</v>
      </c>
      <c r="H55" s="63">
        <f>(36225+36225)*D55</f>
        <v>16272.27</v>
      </c>
      <c r="I55" s="63">
        <f>(29400+29400)*D55</f>
        <v>13206.48</v>
      </c>
      <c r="J55" s="63">
        <f>(22350+22350)*D55</f>
        <v>10039.619999999999</v>
      </c>
      <c r="K55" s="63">
        <f>(15000+15000)*D55</f>
        <v>6738</v>
      </c>
      <c r="L55" s="63">
        <f>(10200+10200)*D55</f>
        <v>4581.84</v>
      </c>
      <c r="M55" s="63">
        <f>(5175+5175)*D55</f>
        <v>2324.61</v>
      </c>
      <c r="N55" s="63">
        <v>0</v>
      </c>
      <c r="O55" s="88">
        <v>0</v>
      </c>
      <c r="P55" s="88">
        <v>0</v>
      </c>
      <c r="Q55" s="88">
        <v>0</v>
      </c>
      <c r="R55" s="88">
        <v>0</v>
      </c>
      <c r="S55" s="88">
        <v>0</v>
      </c>
      <c r="T55" s="88">
        <v>0</v>
      </c>
      <c r="U55" s="88">
        <v>0</v>
      </c>
      <c r="V55" s="88">
        <v>0</v>
      </c>
      <c r="W55" s="88">
        <v>0</v>
      </c>
      <c r="X55" s="88">
        <v>0</v>
      </c>
      <c r="Y55" s="88">
        <v>0</v>
      </c>
      <c r="Z55" s="88">
        <v>0</v>
      </c>
      <c r="AA55" s="86">
        <f>SUM(F55:Z55)</f>
        <v>91704.18</v>
      </c>
      <c r="AB55" s="49"/>
    </row>
    <row r="56" spans="1:29">
      <c r="A56" s="85" t="s">
        <v>366</v>
      </c>
      <c r="B56" s="82"/>
      <c r="C56" s="98"/>
      <c r="D56" s="98"/>
      <c r="E56" s="98"/>
      <c r="F56" s="98"/>
      <c r="G56" s="98"/>
      <c r="H56" s="98"/>
      <c r="I56" s="98"/>
      <c r="J56" s="98"/>
      <c r="K56" s="98"/>
      <c r="L56" s="98"/>
      <c r="M56" s="98"/>
      <c r="N56" s="98"/>
      <c r="O56" s="98"/>
      <c r="P56" s="98"/>
      <c r="Q56" s="98"/>
      <c r="R56" s="98"/>
      <c r="S56" s="98"/>
      <c r="T56" s="98"/>
      <c r="U56" s="98"/>
      <c r="V56" s="98"/>
      <c r="W56" s="98"/>
      <c r="X56" s="98"/>
      <c r="Y56" s="98"/>
      <c r="Z56" s="98"/>
      <c r="AA56" s="90"/>
      <c r="AB56" s="64"/>
    </row>
    <row r="57" spans="1:29">
      <c r="A57" s="85"/>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6"/>
    </row>
    <row r="58" spans="1:29">
      <c r="A58" s="82" t="s">
        <v>330</v>
      </c>
      <c r="B58" s="82" t="s">
        <v>323</v>
      </c>
      <c r="C58" s="86"/>
      <c r="D58" s="86"/>
      <c r="E58" s="86"/>
      <c r="F58" s="86">
        <f>SUM(F47,F51,F54)</f>
        <v>1440885.87</v>
      </c>
      <c r="G58" s="86">
        <f t="shared" ref="G58:M58" si="4">SUM(G47,G51,G54)</f>
        <v>1526678.1099999999</v>
      </c>
      <c r="H58" s="86">
        <f t="shared" si="4"/>
        <v>1610269.66</v>
      </c>
      <c r="I58" s="86">
        <f t="shared" si="4"/>
        <v>256153.38</v>
      </c>
      <c r="J58" s="86">
        <f t="shared" si="4"/>
        <v>263207.12</v>
      </c>
      <c r="K58" s="86">
        <f t="shared" si="4"/>
        <v>85472</v>
      </c>
      <c r="L58" s="86">
        <f t="shared" si="4"/>
        <v>88841</v>
      </c>
      <c r="M58" s="86">
        <f t="shared" si="4"/>
        <v>91144</v>
      </c>
      <c r="N58" s="86">
        <f t="shared" ref="N58:Z58" si="5">SUM(N47,N54)</f>
        <v>0</v>
      </c>
      <c r="O58" s="86">
        <f t="shared" si="5"/>
        <v>0</v>
      </c>
      <c r="P58" s="86">
        <f t="shared" si="5"/>
        <v>0</v>
      </c>
      <c r="Q58" s="86">
        <f t="shared" si="5"/>
        <v>0</v>
      </c>
      <c r="R58" s="86">
        <f t="shared" si="5"/>
        <v>0</v>
      </c>
      <c r="S58" s="86">
        <f t="shared" si="5"/>
        <v>0</v>
      </c>
      <c r="T58" s="86">
        <f t="shared" si="5"/>
        <v>0</v>
      </c>
      <c r="U58" s="86">
        <f t="shared" si="5"/>
        <v>0</v>
      </c>
      <c r="V58" s="86">
        <f t="shared" si="5"/>
        <v>0</v>
      </c>
      <c r="W58" s="86">
        <f t="shared" si="5"/>
        <v>0</v>
      </c>
      <c r="X58" s="86">
        <f t="shared" si="5"/>
        <v>0</v>
      </c>
      <c r="Y58" s="86">
        <f t="shared" si="5"/>
        <v>0</v>
      </c>
      <c r="Z58" s="86">
        <f t="shared" si="5"/>
        <v>0</v>
      </c>
      <c r="AA58" s="86">
        <f>SUM(F58:Z58)</f>
        <v>5362651.1399999997</v>
      </c>
      <c r="AB58" s="73"/>
    </row>
    <row r="59" spans="1:29">
      <c r="A59" s="82"/>
      <c r="B59" s="82"/>
      <c r="C59" s="74"/>
      <c r="D59" s="74"/>
      <c r="E59" s="74"/>
      <c r="F59" s="75"/>
      <c r="G59" s="75"/>
      <c r="H59" s="75"/>
      <c r="I59" s="75"/>
      <c r="J59" s="75"/>
      <c r="K59" s="99"/>
      <c r="L59" s="99"/>
      <c r="M59" s="99"/>
      <c r="N59" s="99"/>
      <c r="O59" s="99"/>
      <c r="P59" s="99"/>
      <c r="Q59" s="99"/>
      <c r="R59" s="99"/>
      <c r="S59" s="99"/>
      <c r="T59" s="99"/>
      <c r="U59" s="99"/>
      <c r="V59" s="99"/>
      <c r="W59" s="99"/>
      <c r="X59" s="99"/>
      <c r="Y59" s="99"/>
      <c r="Z59" s="99"/>
      <c r="AA59" s="86"/>
    </row>
    <row r="60" spans="1:29">
      <c r="A60" s="82" t="s">
        <v>331</v>
      </c>
      <c r="B60" s="82" t="s">
        <v>324</v>
      </c>
      <c r="C60" s="86"/>
      <c r="D60" s="86"/>
      <c r="E60" s="86"/>
      <c r="F60" s="86">
        <f>SUM(F48,F52,F55)</f>
        <v>140025.57999999999</v>
      </c>
      <c r="G60" s="86">
        <f t="shared" ref="G60:M60" si="6">SUM(G48,G52,G55)</f>
        <v>96848.319999999992</v>
      </c>
      <c r="H60" s="86">
        <f t="shared" si="6"/>
        <v>47758.369999999995</v>
      </c>
      <c r="I60" s="86">
        <f t="shared" si="6"/>
        <v>18377.86</v>
      </c>
      <c r="J60" s="86">
        <f t="shared" si="6"/>
        <v>12649.259999999998</v>
      </c>
      <c r="K60" s="86">
        <f t="shared" si="6"/>
        <v>6738</v>
      </c>
      <c r="L60" s="86">
        <f t="shared" si="6"/>
        <v>4581.84</v>
      </c>
      <c r="M60" s="86">
        <f t="shared" si="6"/>
        <v>2324.61</v>
      </c>
      <c r="N60" s="86">
        <f t="shared" ref="N60:Z60" si="7">SUM(N48,N55)</f>
        <v>0</v>
      </c>
      <c r="O60" s="86">
        <f t="shared" si="7"/>
        <v>0</v>
      </c>
      <c r="P60" s="86">
        <f t="shared" si="7"/>
        <v>0</v>
      </c>
      <c r="Q60" s="86">
        <f t="shared" si="7"/>
        <v>0</v>
      </c>
      <c r="R60" s="86">
        <f t="shared" si="7"/>
        <v>0</v>
      </c>
      <c r="S60" s="86">
        <f t="shared" si="7"/>
        <v>0</v>
      </c>
      <c r="T60" s="86">
        <f t="shared" si="7"/>
        <v>0</v>
      </c>
      <c r="U60" s="86">
        <f t="shared" si="7"/>
        <v>0</v>
      </c>
      <c r="V60" s="86">
        <f t="shared" si="7"/>
        <v>0</v>
      </c>
      <c r="W60" s="86">
        <f t="shared" si="7"/>
        <v>0</v>
      </c>
      <c r="X60" s="86">
        <f t="shared" si="7"/>
        <v>0</v>
      </c>
      <c r="Y60" s="86">
        <f t="shared" si="7"/>
        <v>0</v>
      </c>
      <c r="Z60" s="86">
        <f t="shared" si="7"/>
        <v>0</v>
      </c>
      <c r="AA60" s="86">
        <f>SUM(F60:Z60)</f>
        <v>329303.83999999997</v>
      </c>
    </row>
    <row r="61" spans="1:29">
      <c r="A61" s="82"/>
      <c r="B61" s="82"/>
      <c r="C61" s="76"/>
      <c r="D61" s="76"/>
      <c r="E61" s="76"/>
      <c r="F61" s="77"/>
      <c r="G61" s="77"/>
      <c r="H61" s="77"/>
      <c r="I61" s="77"/>
      <c r="J61" s="77"/>
      <c r="K61" s="100"/>
      <c r="L61" s="100"/>
      <c r="M61" s="100"/>
      <c r="N61" s="100"/>
      <c r="O61" s="100"/>
      <c r="P61" s="100"/>
      <c r="Q61" s="100"/>
      <c r="R61" s="100"/>
      <c r="S61" s="100"/>
      <c r="T61" s="100"/>
      <c r="U61" s="100"/>
      <c r="V61" s="100"/>
      <c r="W61" s="100"/>
      <c r="X61" s="100"/>
      <c r="Y61" s="100"/>
      <c r="Z61" s="100"/>
      <c r="AA61" s="100"/>
    </row>
    <row r="62" spans="1:29">
      <c r="A62" s="82" t="s">
        <v>332</v>
      </c>
      <c r="B62" s="82"/>
      <c r="C62" s="86"/>
      <c r="D62" s="86"/>
      <c r="E62" s="86"/>
      <c r="F62" s="86">
        <f t="shared" ref="F62:Z62" si="8">F58+F60</f>
        <v>1580911.4500000002</v>
      </c>
      <c r="G62" s="86">
        <f t="shared" si="8"/>
        <v>1623526.43</v>
      </c>
      <c r="H62" s="86">
        <f t="shared" si="8"/>
        <v>1658028.0299999998</v>
      </c>
      <c r="I62" s="86">
        <f t="shared" si="8"/>
        <v>274531.24</v>
      </c>
      <c r="J62" s="86">
        <f t="shared" si="8"/>
        <v>275856.38</v>
      </c>
      <c r="K62" s="86">
        <f t="shared" si="8"/>
        <v>92210</v>
      </c>
      <c r="L62" s="86">
        <f t="shared" si="8"/>
        <v>93422.84</v>
      </c>
      <c r="M62" s="86">
        <f t="shared" si="8"/>
        <v>93468.61</v>
      </c>
      <c r="N62" s="86">
        <f t="shared" si="8"/>
        <v>0</v>
      </c>
      <c r="O62" s="86">
        <f t="shared" si="8"/>
        <v>0</v>
      </c>
      <c r="P62" s="86">
        <f t="shared" si="8"/>
        <v>0</v>
      </c>
      <c r="Q62" s="86">
        <f t="shared" si="8"/>
        <v>0</v>
      </c>
      <c r="R62" s="86">
        <f t="shared" si="8"/>
        <v>0</v>
      </c>
      <c r="S62" s="86">
        <f t="shared" si="8"/>
        <v>0</v>
      </c>
      <c r="T62" s="86">
        <f t="shared" si="8"/>
        <v>0</v>
      </c>
      <c r="U62" s="86">
        <f t="shared" si="8"/>
        <v>0</v>
      </c>
      <c r="V62" s="86">
        <f t="shared" si="8"/>
        <v>0</v>
      </c>
      <c r="W62" s="86">
        <f t="shared" si="8"/>
        <v>0</v>
      </c>
      <c r="X62" s="86">
        <f t="shared" si="8"/>
        <v>0</v>
      </c>
      <c r="Y62" s="86">
        <f t="shared" si="8"/>
        <v>0</v>
      </c>
      <c r="Z62" s="86">
        <f t="shared" si="8"/>
        <v>0</v>
      </c>
      <c r="AA62" s="86">
        <f>SUM(F62:Z62)</f>
        <v>5691954.9800000004</v>
      </c>
      <c r="AB62" s="60"/>
    </row>
    <row r="63" spans="1:29">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spans="1:29">
      <c r="A64" s="82"/>
      <c r="B64" s="82"/>
      <c r="C64" s="98"/>
      <c r="D64" s="98"/>
      <c r="E64" s="98"/>
      <c r="F64" s="98"/>
      <c r="G64" s="98"/>
      <c r="H64" s="98"/>
      <c r="I64" s="98"/>
      <c r="J64" s="98"/>
      <c r="K64" s="98"/>
      <c r="L64" s="98"/>
      <c r="M64" s="98"/>
      <c r="N64" s="98"/>
      <c r="O64" s="98"/>
      <c r="P64" s="98"/>
      <c r="Q64" s="98"/>
      <c r="R64" s="98"/>
      <c r="S64" s="98"/>
      <c r="T64" s="98"/>
      <c r="U64" s="98"/>
      <c r="V64" s="98"/>
      <c r="W64" s="98"/>
      <c r="X64" s="98"/>
      <c r="Y64" s="98"/>
      <c r="Z64" s="98"/>
      <c r="AA64" s="98"/>
    </row>
    <row r="65" spans="1:28">
      <c r="A65" s="82" t="s">
        <v>333</v>
      </c>
      <c r="B65" s="82"/>
      <c r="C65" s="86"/>
      <c r="D65" s="86"/>
      <c r="E65" s="86"/>
      <c r="F65" s="86">
        <f t="shared" ref="F65:Z65" si="9">F58+F37</f>
        <v>3566116.12</v>
      </c>
      <c r="G65" s="86">
        <f t="shared" si="9"/>
        <v>3705829.13</v>
      </c>
      <c r="H65" s="86">
        <f t="shared" si="9"/>
        <v>3830740.74</v>
      </c>
      <c r="I65" s="86">
        <f t="shared" si="9"/>
        <v>2531218.27</v>
      </c>
      <c r="J65" s="86">
        <f t="shared" si="9"/>
        <v>2598948.91</v>
      </c>
      <c r="K65" s="86">
        <f t="shared" si="9"/>
        <v>2323891.6399999997</v>
      </c>
      <c r="L65" s="86">
        <f t="shared" si="9"/>
        <v>2377561.1599999997</v>
      </c>
      <c r="M65" s="86">
        <f t="shared" si="9"/>
        <v>2439229.42</v>
      </c>
      <c r="N65" s="86">
        <f t="shared" si="9"/>
        <v>2135778.06</v>
      </c>
      <c r="O65" s="86">
        <f t="shared" si="9"/>
        <v>2186620</v>
      </c>
      <c r="P65" s="86">
        <f t="shared" si="9"/>
        <v>2229701.6800000002</v>
      </c>
      <c r="Q65" s="86">
        <f t="shared" si="9"/>
        <v>2260142.69</v>
      </c>
      <c r="R65" s="86">
        <f t="shared" si="9"/>
        <v>2133696.29</v>
      </c>
      <c r="S65" s="86">
        <f t="shared" si="9"/>
        <v>1629999.75</v>
      </c>
      <c r="T65" s="86">
        <f t="shared" si="9"/>
        <v>1670253.85</v>
      </c>
      <c r="U65" s="86">
        <f t="shared" si="9"/>
        <v>1606371.44</v>
      </c>
      <c r="V65" s="86">
        <f t="shared" si="9"/>
        <v>1444154.1600000001</v>
      </c>
      <c r="W65" s="86">
        <f t="shared" si="9"/>
        <v>762575.6</v>
      </c>
      <c r="X65" s="86">
        <f t="shared" si="9"/>
        <v>30654.55</v>
      </c>
      <c r="Y65" s="86">
        <f t="shared" si="9"/>
        <v>0</v>
      </c>
      <c r="Z65" s="86">
        <f t="shared" si="9"/>
        <v>0</v>
      </c>
      <c r="AA65" s="86">
        <f>SUM(F65:Z65)</f>
        <v>41463483.460000001</v>
      </c>
    </row>
    <row r="66" spans="1:28">
      <c r="A66" s="82" t="s">
        <v>334</v>
      </c>
      <c r="B66" s="82"/>
      <c r="C66" s="86"/>
      <c r="D66" s="86"/>
      <c r="E66" s="86"/>
      <c r="F66" s="86">
        <f t="shared" ref="F66:Z66" si="10">F60+F39</f>
        <v>966714.42999999993</v>
      </c>
      <c r="G66" s="86">
        <f t="shared" si="10"/>
        <v>878382.60999999987</v>
      </c>
      <c r="H66" s="86">
        <f t="shared" si="10"/>
        <v>782947.24999999988</v>
      </c>
      <c r="I66" s="86">
        <f t="shared" si="10"/>
        <v>702575.37</v>
      </c>
      <c r="J66" s="86">
        <f t="shared" si="10"/>
        <v>644423.25</v>
      </c>
      <c r="K66" s="86">
        <f t="shared" si="10"/>
        <v>584594.11</v>
      </c>
      <c r="L66" s="86">
        <f t="shared" si="10"/>
        <v>531538.62</v>
      </c>
      <c r="M66" s="86">
        <f t="shared" si="10"/>
        <v>477033.38</v>
      </c>
      <c r="N66" s="86">
        <f t="shared" si="10"/>
        <v>421009.92999999993</v>
      </c>
      <c r="O66" s="86">
        <f t="shared" si="10"/>
        <v>374284.44999999995</v>
      </c>
      <c r="P66" s="86">
        <f t="shared" si="10"/>
        <v>326386.53999999998</v>
      </c>
      <c r="Q66" s="86">
        <f t="shared" si="10"/>
        <v>277352.01</v>
      </c>
      <c r="R66" s="86">
        <f t="shared" si="10"/>
        <v>227379.41999999998</v>
      </c>
      <c r="S66" s="86">
        <f t="shared" si="10"/>
        <v>185083.49</v>
      </c>
      <c r="T66" s="86">
        <f t="shared" si="10"/>
        <v>147539.66999999998</v>
      </c>
      <c r="U66" s="86">
        <f t="shared" si="10"/>
        <v>111249.61</v>
      </c>
      <c r="V66" s="86">
        <f t="shared" si="10"/>
        <v>79065.7</v>
      </c>
      <c r="W66" s="86">
        <f t="shared" si="10"/>
        <v>49055.56</v>
      </c>
      <c r="X66" s="86">
        <f t="shared" si="10"/>
        <v>0</v>
      </c>
      <c r="Y66" s="86">
        <f t="shared" si="10"/>
        <v>0</v>
      </c>
      <c r="Z66" s="86">
        <f t="shared" si="10"/>
        <v>0</v>
      </c>
      <c r="AA66" s="86">
        <f>SUM(F66:Z66)</f>
        <v>7766615.3999999994</v>
      </c>
    </row>
    <row r="67" spans="1:28">
      <c r="A67" s="82"/>
      <c r="B67" s="82"/>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60"/>
    </row>
    <row r="68" spans="1:28">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row>
    <row r="69" spans="1:28" s="79" customFormat="1">
      <c r="A69" s="78" t="s">
        <v>335</v>
      </c>
      <c r="B69" s="78"/>
      <c r="C69" s="78"/>
      <c r="D69" s="78"/>
      <c r="E69" s="78"/>
      <c r="F69" s="79">
        <f t="shared" ref="F69:Z69" si="11">SUM(F65:F67)</f>
        <v>4532830.55</v>
      </c>
      <c r="G69" s="79">
        <f t="shared" si="11"/>
        <v>4584211.74</v>
      </c>
      <c r="H69" s="79">
        <f t="shared" si="11"/>
        <v>4613687.99</v>
      </c>
      <c r="I69" s="79">
        <f t="shared" si="11"/>
        <v>3233793.64</v>
      </c>
      <c r="J69" s="79">
        <f t="shared" si="11"/>
        <v>3243372.16</v>
      </c>
      <c r="K69" s="79">
        <f t="shared" si="11"/>
        <v>2908485.7499999995</v>
      </c>
      <c r="L69" s="79">
        <f>SUM(L65:L67)</f>
        <v>2909099.78</v>
      </c>
      <c r="M69" s="79">
        <f t="shared" si="11"/>
        <v>2916262.8</v>
      </c>
      <c r="N69" s="79">
        <f t="shared" si="11"/>
        <v>2556787.9900000002</v>
      </c>
      <c r="O69" s="79">
        <f t="shared" si="11"/>
        <v>2560904.4500000002</v>
      </c>
      <c r="P69" s="79">
        <f t="shared" si="11"/>
        <v>2556088.2200000002</v>
      </c>
      <c r="Q69" s="79">
        <f t="shared" si="11"/>
        <v>2537494.7000000002</v>
      </c>
      <c r="R69" s="79">
        <f t="shared" si="11"/>
        <v>2361075.71</v>
      </c>
      <c r="S69" s="79">
        <f t="shared" si="11"/>
        <v>1815083.24</v>
      </c>
      <c r="T69" s="79">
        <f t="shared" si="11"/>
        <v>1817793.52</v>
      </c>
      <c r="U69" s="79">
        <f t="shared" si="11"/>
        <v>1717621.05</v>
      </c>
      <c r="V69" s="79">
        <f t="shared" si="11"/>
        <v>1523219.86</v>
      </c>
      <c r="W69" s="79">
        <f t="shared" si="11"/>
        <v>811631.15999999992</v>
      </c>
      <c r="X69" s="79">
        <f t="shared" si="11"/>
        <v>30654.55</v>
      </c>
      <c r="Y69" s="79">
        <f t="shared" si="11"/>
        <v>0</v>
      </c>
      <c r="Z69" s="79">
        <f t="shared" si="11"/>
        <v>0</v>
      </c>
      <c r="AA69" s="79">
        <f>SUM(AA65:AA67)</f>
        <v>49230098.859999999</v>
      </c>
      <c r="AB69" s="80"/>
    </row>
    <row r="70" spans="1:28">
      <c r="Z70" s="64"/>
    </row>
    <row r="71" spans="1:28">
      <c r="G71" s="64"/>
    </row>
  </sheetData>
  <printOptions horizontalCentered="1"/>
  <pageMargins left="0" right="0" top="0.33333333300000001" bottom="0.58333333300000001" header="0" footer="8.3333332999999996E-2"/>
  <pageSetup paperSize="17" scale="31" orientation="landscape" r:id="rId1"/>
  <headerFooter alignWithMargins="0"/>
  <colBreaks count="1" manualBreakCount="1">
    <brk id="6" max="1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8"/>
  <sheetViews>
    <sheetView zoomScale="90" zoomScaleNormal="90" workbookViewId="0">
      <selection activeCell="I40" sqref="I40"/>
    </sheetView>
  </sheetViews>
  <sheetFormatPr defaultRowHeight="14.4"/>
  <cols>
    <col min="1" max="15" width="8.88671875" style="140"/>
    <col min="16" max="16" width="15" style="140" customWidth="1"/>
  </cols>
  <sheetData>
    <row r="1" spans="1:16">
      <c r="A1" s="139" t="str">
        <f>+'Data Input'!A1</f>
        <v>CITIZENS' GUIDE TO LOCAL UNIT FINANCES - Charter Township of Waterford</v>
      </c>
      <c r="P1" s="142" t="s">
        <v>162</v>
      </c>
    </row>
    <row r="2" spans="1:16">
      <c r="A2" s="140" t="s">
        <v>188</v>
      </c>
      <c r="F2" s="151" t="s">
        <v>189</v>
      </c>
      <c r="K2" s="157" t="s">
        <v>190</v>
      </c>
    </row>
    <row r="18" spans="1:10">
      <c r="A18" s="140" t="s">
        <v>191</v>
      </c>
      <c r="J18" s="158" t="s">
        <v>192</v>
      </c>
    </row>
    <row r="35" spans="1:1" ht="23.4" customHeight="1"/>
    <row r="36" spans="1:1" ht="23.4" customHeight="1"/>
    <row r="37" spans="1:1" ht="23.4" customHeight="1"/>
    <row r="38" spans="1:1">
      <c r="A38" s="140" t="str">
        <f>+'Data Input'!A78</f>
        <v>For more information on our Township's finances, contact Barbara Miller at bmiller@twp.waterford.mi.us</v>
      </c>
    </row>
  </sheetData>
  <sheetProtection algorithmName="SHA-512" hashValue="VDQtf38HB84QpgDiopMXN48XaUp2b8RaKApiR8qIv3bpdj+hdF7i46E3Y84ZwCl/FXawC22tnbFpMmfK3gD6Fw==" saltValue="xoLnWIbSJW6gFcZfXYh37A==" spinCount="100000" sheet="1" objects="1" scenarios="1"/>
  <printOptions horizontalCentered="1"/>
  <pageMargins left="0.25" right="0.25" top="0.5" bottom="0.5" header="0.3" footer="0.3"/>
  <pageSetup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
  <sheetViews>
    <sheetView workbookViewId="0">
      <selection activeCell="D31" sqref="D31"/>
    </sheetView>
  </sheetViews>
  <sheetFormatPr defaultRowHeight="14.4"/>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6"/>
  <sheetViews>
    <sheetView topLeftCell="A37" workbookViewId="0">
      <selection activeCell="D31" sqref="D31"/>
    </sheetView>
  </sheetViews>
  <sheetFormatPr defaultRowHeight="14.4"/>
  <cols>
    <col min="1" max="1" width="8.6640625" customWidth="1"/>
    <col min="2" max="2" width="27.33203125" customWidth="1"/>
    <col min="3" max="3" width="9.109375" style="25" customWidth="1"/>
    <col min="4" max="8" width="11" hidden="1" customWidth="1"/>
    <col min="9" max="10" width="12.5546875" bestFit="1" customWidth="1"/>
  </cols>
  <sheetData>
    <row r="1" spans="1:10">
      <c r="A1" s="18" t="s">
        <v>305</v>
      </c>
      <c r="B1" s="12"/>
      <c r="C1" s="24"/>
    </row>
    <row r="2" spans="1:10" s="14" customFormat="1" ht="16.2">
      <c r="A2" s="19"/>
      <c r="B2" s="19"/>
      <c r="C2" s="30"/>
      <c r="D2" s="16" t="e">
        <f>+E2-1</f>
        <v>#REF!</v>
      </c>
      <c r="E2" s="16" t="e">
        <f>+F2-1</f>
        <v>#REF!</v>
      </c>
      <c r="F2" s="16" t="e">
        <f>+G2-1</f>
        <v>#REF!</v>
      </c>
      <c r="G2" s="16" t="e">
        <f>+H2-1</f>
        <v>#REF!</v>
      </c>
      <c r="H2" s="16" t="e">
        <f>+#REF!-1</f>
        <v>#REF!</v>
      </c>
      <c r="I2" s="14" t="s">
        <v>307</v>
      </c>
      <c r="J2" s="14" t="s">
        <v>307</v>
      </c>
    </row>
    <row r="3" spans="1:10" s="14" customFormat="1" ht="32.4">
      <c r="A3" s="19"/>
      <c r="B3" s="19"/>
      <c r="C3" s="30"/>
      <c r="D3" s="16"/>
      <c r="E3" s="16"/>
      <c r="F3" s="16"/>
      <c r="G3" s="16"/>
      <c r="H3" s="16" t="s">
        <v>208</v>
      </c>
      <c r="I3" s="14" t="s">
        <v>308</v>
      </c>
      <c r="J3" s="14" t="s">
        <v>309</v>
      </c>
    </row>
    <row r="4" spans="1:10" s="1" customFormat="1" ht="167.25" customHeight="1">
      <c r="C4" s="31"/>
    </row>
    <row r="5" spans="1:10">
      <c r="A5" s="11" t="s">
        <v>306</v>
      </c>
    </row>
    <row r="6" spans="1:10">
      <c r="A6" s="10" t="s">
        <v>2</v>
      </c>
      <c r="I6" s="29"/>
      <c r="J6" s="29"/>
    </row>
    <row r="7" spans="1:10">
      <c r="B7" s="12" t="s">
        <v>4</v>
      </c>
      <c r="C7" s="24"/>
      <c r="D7" s="15"/>
      <c r="E7" s="15"/>
      <c r="F7" s="15"/>
      <c r="G7" s="15"/>
      <c r="H7" s="15"/>
      <c r="I7" s="43"/>
      <c r="J7" s="43"/>
    </row>
    <row r="8" spans="1:10">
      <c r="B8" s="12" t="s">
        <v>215</v>
      </c>
      <c r="C8" s="24"/>
      <c r="D8" s="15"/>
      <c r="E8" s="15"/>
      <c r="F8" s="15"/>
      <c r="G8" s="15"/>
      <c r="H8" s="15"/>
      <c r="I8" s="43"/>
      <c r="J8" s="43"/>
    </row>
    <row r="9" spans="1:10">
      <c r="B9" s="12" t="s">
        <v>281</v>
      </c>
      <c r="C9" s="24"/>
      <c r="D9" s="15"/>
      <c r="E9" s="15"/>
      <c r="F9" s="15"/>
      <c r="G9" s="15"/>
      <c r="H9" s="15"/>
      <c r="I9" s="43"/>
      <c r="J9" s="43"/>
    </row>
    <row r="10" spans="1:10">
      <c r="B10" s="12" t="s">
        <v>282</v>
      </c>
      <c r="C10" s="24"/>
      <c r="D10" s="15"/>
      <c r="E10" s="15"/>
      <c r="F10" s="15"/>
      <c r="G10" s="15"/>
      <c r="H10" s="15"/>
      <c r="I10" s="43"/>
      <c r="J10" s="43"/>
    </row>
    <row r="11" spans="1:10">
      <c r="B11" s="12" t="s">
        <v>5</v>
      </c>
      <c r="C11" s="24"/>
      <c r="D11" s="15"/>
      <c r="E11" s="15"/>
      <c r="F11" s="15"/>
      <c r="G11" s="15"/>
      <c r="H11" s="15"/>
      <c r="I11" s="43"/>
      <c r="J11" s="43"/>
    </row>
    <row r="12" spans="1:10">
      <c r="B12" s="12" t="s">
        <v>216</v>
      </c>
      <c r="C12" s="24"/>
      <c r="D12" s="15"/>
      <c r="E12" s="15"/>
      <c r="F12" s="15"/>
      <c r="G12" s="15"/>
      <c r="H12" s="15"/>
      <c r="I12" s="43"/>
      <c r="J12" s="43"/>
    </row>
    <row r="13" spans="1:10">
      <c r="B13" s="12" t="s">
        <v>9</v>
      </c>
      <c r="C13" s="24"/>
      <c r="D13" s="15"/>
      <c r="E13" s="15"/>
      <c r="F13" s="15"/>
      <c r="G13" s="15"/>
      <c r="H13" s="15"/>
      <c r="I13" s="43"/>
      <c r="J13" s="43"/>
    </row>
    <row r="14" spans="1:10">
      <c r="B14" s="12" t="s">
        <v>226</v>
      </c>
      <c r="C14" s="24"/>
      <c r="D14" s="15"/>
      <c r="E14" s="15"/>
      <c r="F14" s="15"/>
      <c r="G14" s="15"/>
      <c r="H14" s="15"/>
      <c r="I14" s="43"/>
      <c r="J14" s="43"/>
    </row>
    <row r="15" spans="1:10">
      <c r="B15" s="12" t="s">
        <v>236</v>
      </c>
      <c r="C15" s="24"/>
      <c r="D15" s="15"/>
      <c r="E15" s="15"/>
      <c r="F15" s="15"/>
      <c r="G15" s="15"/>
      <c r="H15" s="15"/>
      <c r="I15" s="43"/>
      <c r="J15" s="43"/>
    </row>
    <row r="16" spans="1:10">
      <c r="B16" s="12" t="s">
        <v>227</v>
      </c>
      <c r="C16" s="26" t="s">
        <v>228</v>
      </c>
      <c r="D16" s="15"/>
      <c r="E16" s="15"/>
      <c r="F16" s="15"/>
      <c r="G16" s="15"/>
      <c r="H16" s="15"/>
      <c r="I16" s="43"/>
      <c r="J16" s="43"/>
    </row>
    <row r="17" spans="1:10">
      <c r="B17" s="13" t="s">
        <v>11</v>
      </c>
      <c r="C17" s="24"/>
      <c r="D17" s="4">
        <f t="shared" ref="D17:J17" si="0">SUM(D7:D16)</f>
        <v>0</v>
      </c>
      <c r="E17" s="4">
        <f t="shared" si="0"/>
        <v>0</v>
      </c>
      <c r="F17" s="4">
        <f t="shared" si="0"/>
        <v>0</v>
      </c>
      <c r="G17" s="4">
        <f t="shared" si="0"/>
        <v>0</v>
      </c>
      <c r="H17" s="4">
        <f t="shared" si="0"/>
        <v>0</v>
      </c>
      <c r="I17" s="4">
        <f t="shared" si="0"/>
        <v>0</v>
      </c>
      <c r="J17" s="4">
        <f t="shared" si="0"/>
        <v>0</v>
      </c>
    </row>
    <row r="18" spans="1:10">
      <c r="A18" s="10" t="s">
        <v>0</v>
      </c>
    </row>
    <row r="19" spans="1:10">
      <c r="B19" s="12" t="s">
        <v>27</v>
      </c>
      <c r="C19" s="24"/>
      <c r="D19" s="15"/>
      <c r="E19" s="15"/>
      <c r="F19" s="15"/>
      <c r="G19" s="15"/>
      <c r="H19" s="15"/>
      <c r="I19" s="43"/>
      <c r="J19" s="43" t="s">
        <v>313</v>
      </c>
    </row>
    <row r="20" spans="1:10">
      <c r="B20" s="12" t="s">
        <v>12</v>
      </c>
      <c r="C20" s="24"/>
      <c r="D20" s="15"/>
      <c r="E20" s="15"/>
      <c r="F20" s="15"/>
      <c r="G20" s="15"/>
      <c r="H20" s="15"/>
      <c r="I20" s="43"/>
      <c r="J20" s="43"/>
    </row>
    <row r="21" spans="1:10">
      <c r="B21" s="12" t="s">
        <v>13</v>
      </c>
      <c r="C21" s="24"/>
      <c r="D21" s="15"/>
      <c r="E21" s="15"/>
      <c r="F21" s="15"/>
      <c r="G21" s="15"/>
      <c r="H21" s="15"/>
      <c r="I21" s="43"/>
      <c r="J21" s="43"/>
    </row>
    <row r="22" spans="1:10">
      <c r="B22" s="12" t="s">
        <v>16</v>
      </c>
      <c r="C22" s="24"/>
      <c r="D22" s="15"/>
      <c r="E22" s="15"/>
      <c r="F22" s="15"/>
      <c r="G22" s="15"/>
      <c r="H22" s="15"/>
      <c r="I22" s="43"/>
      <c r="J22" s="43"/>
    </row>
    <row r="23" spans="1:10">
      <c r="B23" s="12" t="s">
        <v>20</v>
      </c>
      <c r="C23" s="24"/>
      <c r="D23" s="15"/>
      <c r="E23" s="15"/>
      <c r="F23" s="15"/>
      <c r="G23" s="15"/>
      <c r="H23" s="15"/>
      <c r="I23" s="43"/>
      <c r="J23" s="43"/>
    </row>
    <row r="24" spans="1:10">
      <c r="B24" s="12" t="s">
        <v>17</v>
      </c>
      <c r="C24" s="24"/>
      <c r="D24" s="15"/>
      <c r="E24" s="15"/>
      <c r="F24" s="15"/>
      <c r="G24" s="15"/>
      <c r="H24" s="15"/>
      <c r="I24" s="43"/>
      <c r="J24" s="43"/>
    </row>
    <row r="25" spans="1:10">
      <c r="B25" s="12" t="s">
        <v>18</v>
      </c>
      <c r="C25" s="24"/>
      <c r="D25" s="15"/>
      <c r="E25" s="15"/>
      <c r="F25" s="15"/>
      <c r="G25" s="15"/>
      <c r="H25" s="15"/>
      <c r="I25" s="43"/>
      <c r="J25" s="43"/>
    </row>
    <row r="26" spans="1:10">
      <c r="B26" s="12" t="s">
        <v>32</v>
      </c>
      <c r="C26" s="24"/>
      <c r="D26" s="15"/>
      <c r="E26" s="15"/>
      <c r="F26" s="15"/>
      <c r="G26" s="15"/>
      <c r="H26" s="15"/>
      <c r="I26" s="43"/>
      <c r="J26" s="43"/>
    </row>
    <row r="27" spans="1:10">
      <c r="B27" s="12" t="s">
        <v>21</v>
      </c>
      <c r="C27" s="24"/>
      <c r="D27" s="15"/>
      <c r="E27" s="15"/>
      <c r="F27" s="15"/>
      <c r="G27" s="15"/>
      <c r="H27" s="15"/>
      <c r="I27" s="43"/>
      <c r="J27" s="43"/>
    </row>
    <row r="28" spans="1:10">
      <c r="B28" s="12" t="s">
        <v>22</v>
      </c>
      <c r="C28" s="24"/>
      <c r="D28" s="15"/>
      <c r="E28" s="15"/>
      <c r="F28" s="15"/>
      <c r="G28" s="15"/>
      <c r="H28" s="15"/>
      <c r="I28" s="43"/>
      <c r="J28" s="43"/>
    </row>
    <row r="29" spans="1:10">
      <c r="B29" s="12" t="s">
        <v>237</v>
      </c>
      <c r="C29" s="24"/>
      <c r="D29" s="15"/>
      <c r="E29" s="15"/>
      <c r="F29" s="15"/>
      <c r="G29" s="15"/>
      <c r="H29" s="15"/>
      <c r="I29" s="43"/>
      <c r="J29" s="43"/>
    </row>
    <row r="30" spans="1:10">
      <c r="B30" s="3" t="s">
        <v>25</v>
      </c>
      <c r="D30" s="4">
        <f t="shared" ref="D30:J30" si="1">SUM(D19:D29)</f>
        <v>0</v>
      </c>
      <c r="E30" s="4">
        <f t="shared" si="1"/>
        <v>0</v>
      </c>
      <c r="F30" s="4">
        <f t="shared" si="1"/>
        <v>0</v>
      </c>
      <c r="G30" s="4">
        <f t="shared" si="1"/>
        <v>0</v>
      </c>
      <c r="H30" s="4">
        <f t="shared" si="1"/>
        <v>0</v>
      </c>
      <c r="I30" s="4">
        <f t="shared" si="1"/>
        <v>0</v>
      </c>
      <c r="J30" s="4">
        <f t="shared" si="1"/>
        <v>0</v>
      </c>
    </row>
    <row r="31" spans="1:10">
      <c r="B31" s="3"/>
      <c r="D31" s="9"/>
      <c r="E31" s="9"/>
      <c r="F31" s="9"/>
      <c r="G31" s="9"/>
      <c r="H31" s="9"/>
    </row>
    <row r="32" spans="1:10" ht="28.8">
      <c r="B32" s="44" t="s">
        <v>310</v>
      </c>
      <c r="D32" s="9"/>
      <c r="E32" s="9"/>
      <c r="F32" s="9"/>
      <c r="G32" s="9"/>
      <c r="H32" s="9"/>
      <c r="I32" s="45"/>
      <c r="J32" s="46"/>
    </row>
    <row r="33" spans="1:10">
      <c r="B33" s="44"/>
      <c r="D33" s="9"/>
      <c r="E33" s="9"/>
      <c r="F33" s="9"/>
      <c r="G33" s="9"/>
      <c r="H33" s="9"/>
    </row>
    <row r="34" spans="1:10">
      <c r="B34" s="44" t="s">
        <v>311</v>
      </c>
      <c r="D34" s="9"/>
      <c r="E34" s="9"/>
      <c r="F34" s="9"/>
      <c r="G34" s="9"/>
      <c r="H34" s="9"/>
      <c r="I34">
        <f>I30+I32</f>
        <v>0</v>
      </c>
      <c r="J34">
        <f>J30+J32</f>
        <v>0</v>
      </c>
    </row>
    <row r="35" spans="1:10">
      <c r="B35" s="3"/>
      <c r="D35" s="9"/>
      <c r="E35" s="9"/>
      <c r="F35" s="9"/>
      <c r="G35" s="9"/>
      <c r="H35" s="9"/>
      <c r="I35" s="9"/>
      <c r="J35" s="9"/>
    </row>
    <row r="36" spans="1:10" ht="15" thickBot="1">
      <c r="B36" t="s">
        <v>26</v>
      </c>
      <c r="D36" s="5">
        <f>+D17-D30</f>
        <v>0</v>
      </c>
      <c r="E36" s="5">
        <f>+E17-E30</f>
        <v>0</v>
      </c>
      <c r="F36" s="5">
        <f>+F17-F30</f>
        <v>0</v>
      </c>
      <c r="G36" s="5">
        <f>+G17-G30</f>
        <v>0</v>
      </c>
      <c r="H36" s="5">
        <f>+H17-H30</f>
        <v>0</v>
      </c>
      <c r="I36" s="5">
        <f>+I17-I34</f>
        <v>0</v>
      </c>
      <c r="J36" s="5">
        <f>+J17-J34</f>
        <v>0</v>
      </c>
    </row>
    <row r="37" spans="1:10" ht="15" thickTop="1">
      <c r="A37" s="11" t="s">
        <v>304</v>
      </c>
    </row>
    <row r="39" spans="1:10">
      <c r="B39" t="s">
        <v>312</v>
      </c>
    </row>
    <row r="40" spans="1:10" ht="15" thickBot="1">
      <c r="B40" s="2" t="s">
        <v>149</v>
      </c>
      <c r="D40" s="5" t="e">
        <f>SUM(#REF!)</f>
        <v>#REF!</v>
      </c>
      <c r="E40" s="5" t="e">
        <f>SUM(#REF!)</f>
        <v>#REF!</v>
      </c>
      <c r="F40" s="5" t="e">
        <f>SUM(#REF!)</f>
        <v>#REF!</v>
      </c>
      <c r="G40" s="5" t="e">
        <f>SUM(#REF!)</f>
        <v>#REF!</v>
      </c>
      <c r="H40" s="5" t="e">
        <f>SUM(#REF!)</f>
        <v>#REF!</v>
      </c>
      <c r="I40" s="5">
        <f>I36+I39</f>
        <v>0</v>
      </c>
      <c r="J40" s="5">
        <f>J36+J39</f>
        <v>0</v>
      </c>
    </row>
    <row r="41" spans="1:10" ht="15" thickTop="1"/>
    <row r="43" spans="1:10" ht="16.2">
      <c r="B43" s="27" t="s">
        <v>227</v>
      </c>
    </row>
    <row r="44" spans="1:10">
      <c r="B44" t="s">
        <v>231</v>
      </c>
      <c r="C44" s="24"/>
      <c r="I44" s="12"/>
      <c r="J44" s="12"/>
    </row>
    <row r="45" spans="1:10">
      <c r="B45" t="s">
        <v>229</v>
      </c>
      <c r="C45" s="24"/>
      <c r="I45" s="12"/>
      <c r="J45" s="12"/>
    </row>
    <row r="46" spans="1:10">
      <c r="B46" t="s">
        <v>280</v>
      </c>
      <c r="C46" s="24"/>
      <c r="I46" s="12"/>
      <c r="J46" s="12"/>
    </row>
    <row r="47" spans="1:10">
      <c r="B47" t="s">
        <v>230</v>
      </c>
      <c r="C47" s="24"/>
      <c r="I47" s="12"/>
      <c r="J47" s="12"/>
    </row>
    <row r="48" spans="1:10" ht="15" thickBot="1">
      <c r="B48" s="28" t="s">
        <v>238</v>
      </c>
      <c r="I48" s="5">
        <f>SUM(I44:I47)</f>
        <v>0</v>
      </c>
      <c r="J48" s="5">
        <f>SUM(J44:J47)</f>
        <v>0</v>
      </c>
    </row>
    <row r="49" ht="15" thickTop="1"/>
    <row r="65" spans="1:11">
      <c r="A65" s="11" t="str">
        <f>'Data Input'!A77</f>
        <v>Contact information:</v>
      </c>
    </row>
    <row r="66" spans="1:11">
      <c r="A66" s="15" t="str">
        <f>'Data Input'!A78</f>
        <v>For more information on our Township's finances, contact Barbara Miller at bmiller@twp.waterford.mi.us</v>
      </c>
      <c r="B66" s="21"/>
      <c r="C66" s="26"/>
      <c r="D66" s="26"/>
      <c r="E66" s="26"/>
      <c r="F66" s="26"/>
      <c r="G66" s="26"/>
      <c r="H66" s="26"/>
      <c r="I66" s="26"/>
      <c r="J66" s="26"/>
      <c r="K66" s="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MDocument" ma:contentTypeID="0x0101004679C7EC42F9464CA8EDA551B54EE8ED0012D29FDCF7F2D148A255980CC991EE57" ma:contentTypeVersion="5" ma:contentTypeDescription="" ma:contentTypeScope="" ma:versionID="ee8bb2f7df1d7d390e96c30e3b5e5674">
  <xsd:schema xmlns:xsd="http://www.w3.org/2001/XMLSchema" xmlns:p="http://schemas.microsoft.com/office/2006/metadata/properties" xmlns:ns1="http://schemas.microsoft.com/sharepoint/v3" xmlns:ns2="d80acb0e-a878-4158-8256-3916bd6b5c02" xmlns:ns3="355d3874-b2b8-449a-b760-18ef8251a67a" xmlns:ns4="a7cec46d-b83f-480a-923e-5e83a48d57ba" targetNamespace="http://schemas.microsoft.com/office/2006/metadata/properties" ma:root="true" ma:fieldsID="544209efea5a1ce58015ce8b49bcfa08" ns1:_="" ns2:_="" ns3:_="" ns4:_="">
    <xsd:import namespace="http://schemas.microsoft.com/sharepoint/v3"/>
    <xsd:import namespace="d80acb0e-a878-4158-8256-3916bd6b5c02"/>
    <xsd:import namespace="355d3874-b2b8-449a-b760-18ef8251a67a"/>
    <xsd:import namespace="a7cec46d-b83f-480a-923e-5e83a48d57ba"/>
    <xsd:element name="properties">
      <xsd:complexType>
        <xsd:sequence>
          <xsd:element name="documentManagement">
            <xsd:complexType>
              <xsd:all>
                <xsd:element ref="ns2:PMIntended_x0020_Audience" minOccurs="0"/>
                <xsd:element ref="ns2:PMService_x0020_Group" minOccurs="0"/>
                <xsd:element ref="ns2:PMSub_x0020_Service_x0020_Group" minOccurs="0"/>
                <xsd:element ref="ns2:PMIndustry" minOccurs="0"/>
                <xsd:element ref="ns2:PMSub_x0020_Industry" minOccurs="0"/>
                <xsd:element ref="ns2:PMFirm_x0020_Operations_x0020_Group" minOccurs="0"/>
                <xsd:element ref="ns2:PMSub_x0020_Firm_x0020_Operations_x0020_Group" minOccurs="0"/>
                <xsd:element ref="ns2:PMTopic" minOccurs="0"/>
                <xsd:element ref="ns2:PMTool_x0020_Type" minOccurs="0"/>
                <xsd:element ref="ns2:PMSub_x0020_Tool_x0020_Type" minOccurs="0"/>
                <xsd:element ref="ns2:PMOffice" minOccurs="0"/>
                <xsd:element ref="ns2:PMRestrict_x0020_Access_x0020_to_x0020_Group" minOccurs="0"/>
                <xsd:element ref="ns2:PMRole" minOccurs="0"/>
                <xsd:element ref="ns2:PMPosition" minOccurs="0"/>
                <xsd:element ref="ns3:PMSub_x0020_Position" minOccurs="0"/>
                <xsd:element ref="ns2:PMTeam" minOccurs="0"/>
                <xsd:element ref="ns2:PMPurpose" minOccurs="0"/>
                <xsd:element ref="ns2:PMSub_x0020_Purpose" minOccurs="0"/>
                <xsd:element ref="ns4:PMLink_x0020_Group" minOccurs="0"/>
                <xsd:element ref="ns1:URL"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URL" ma:index="28" nillable="true" ma:displayName="URL" ma:internalName="URL0">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dms="http://schemas.microsoft.com/office/2006/documentManagement/types" targetNamespace="d80acb0e-a878-4158-8256-3916bd6b5c02" elementFormDefault="qualified">
    <xsd:import namespace="http://schemas.microsoft.com/office/2006/documentManagement/types"/>
    <xsd:element name="PMIntended_x0020_Audience" ma:index="8" nillable="true" ma:displayName="Intended Audience" ma:default="" ma:internalName="PMIntended_x0020_Audience">
      <xsd:complexType>
        <xsd:complexContent>
          <xsd:extension base="dms:MultiChoice">
            <xsd:sequence>
              <xsd:element name="Value" maxOccurs="unbounded" minOccurs="0" nillable="true">
                <xsd:simpleType>
                  <xsd:restriction base="dms:Choice">
                    <xsd:enumeration value="Firm"/>
                    <xsd:enumeration value="Group"/>
                    <xsd:enumeration value="Secure Zone"/>
                  </xsd:restriction>
                </xsd:simpleType>
              </xsd:element>
            </xsd:sequence>
          </xsd:extension>
        </xsd:complexContent>
      </xsd:complexType>
    </xsd:element>
    <xsd:element name="PMService_x0020_Group" ma:index="9" nillable="true" ma:displayName="Service Group" ma:internalName="PMService_x0020_Group">
      <xsd:complexType>
        <xsd:complexContent>
          <xsd:extension base="dms:MultiChoice">
            <xsd:sequence>
              <xsd:element name="Value" maxOccurs="unbounded" minOccurs="0" nillable="true">
                <xsd:simpleType>
                  <xsd:restriction base="dms:Choice">
                    <xsd:enumeration value="Assurance"/>
                    <xsd:enumeration value="Benefit Plan Audit"/>
                    <xsd:enumeration value="Client Accounting Services"/>
                    <xsd:enumeration value="CRESA"/>
                    <xsd:enumeration value="Employee Benefits Consulting"/>
                    <xsd:enumeration value="MC"/>
                    <xsd:enumeration value="PMCF"/>
                    <xsd:enumeration value="PMFA"/>
                    <xsd:enumeration value="Tax"/>
                  </xsd:restriction>
                </xsd:simpleType>
              </xsd:element>
            </xsd:sequence>
          </xsd:extension>
        </xsd:complexContent>
      </xsd:complexType>
    </xsd:element>
    <xsd:element name="PMSub_x0020_Service_x0020_Group" ma:index="10" nillable="true" ma:displayName="Sub Service Group" ma:internalName="PMSub_x0020_Service_x0020_Group">
      <xsd:complexType>
        <xsd:complexContent>
          <xsd:extension base="dms:MultiChoice">
            <xsd:sequence>
              <xsd:element name="Value" maxOccurs="unbounded" minOccurs="0" nillable="true">
                <xsd:simpleType>
                  <xsd:restriction base="dms:Choice">
                    <xsd:enumeration value="Enterprise Risk Services (MC)"/>
                    <xsd:enumeration value="Estate &amp; Business Continuity Services (PMFA)"/>
                    <xsd:enumeration value="Financial Support Services (MC)"/>
                    <xsd:enumeration value="Forensic &amp; Valuation Services (MC)"/>
                    <xsd:enumeration value="Investment Services (PMFA)"/>
                    <xsd:enumeration value="Owners Representatives (CRESA)"/>
                    <xsd:enumeration value="Plante Moran Insurance Agency (PMFA)"/>
                    <xsd:enumeration value="Plante Moran Trust (PMFA)"/>
                    <xsd:enumeration value="Project Management (CRESA)"/>
                    <xsd:enumeration value="Real Estate Consulting (CRESA)"/>
                    <xsd:enumeration value="Restructuring &amp; Operations Improvement (MC)"/>
                    <xsd:enumeration value="SALT (Tax)"/>
                    <xsd:enumeration value="SAS 70 (Assurance)"/>
                    <xsd:enumeration value="SEC Audit Services (Assurance)"/>
                    <xsd:enumeration value="Single Audit (Assurance)"/>
                    <xsd:enumeration value="Strategy &amp; Global Services (MC)"/>
                    <xsd:enumeration value="Technology Consulting &amp; Solutions (MC)"/>
                    <xsd:enumeration value="Tenant/Buyers Representatives (CRESA)"/>
                  </xsd:restriction>
                </xsd:simpleType>
              </xsd:element>
            </xsd:sequence>
          </xsd:extension>
        </xsd:complexContent>
      </xsd:complexType>
    </xsd:element>
    <xsd:element name="PMIndustry" ma:index="11" nillable="true" ma:displayName="Industry" ma:internalName="PMIndustry">
      <xsd:complexType>
        <xsd:complexContent>
          <xsd:extension base="dms:MultiChoice">
            <xsd:sequence>
              <xsd:element name="Value" maxOccurs="unbounded" minOccurs="0" nillable="true">
                <xsd:simpleType>
                  <xsd:restriction base="dms:Choice">
                    <xsd:enumeration value="Financial Institutions"/>
                    <xsd:enumeration value="Health Care"/>
                    <xsd:enumeration value="Manufacturing &amp; Distribution"/>
                    <xsd:enumeration value="Private Equity Group"/>
                    <xsd:enumeration value="Public Sector"/>
                    <xsd:enumeration value="Real Estate and Construction"/>
                    <xsd:enumeration value="Service Industry"/>
                  </xsd:restriction>
                </xsd:simpleType>
              </xsd:element>
            </xsd:sequence>
          </xsd:extension>
        </xsd:complexContent>
      </xsd:complexType>
    </xsd:element>
    <xsd:element name="PMSub_x0020_Industry" ma:index="12" nillable="true" ma:displayName="Sub Industry" ma:internalName="PMSub_x0020_Industry">
      <xsd:complexType>
        <xsd:complexContent>
          <xsd:extension base="dms:MultiChoice">
            <xsd:sequence>
              <xsd:element name="Value" maxOccurs="unbounded" minOccurs="0" nillable="true">
                <xsd:simpleType>
                  <xsd:restriction base="dms:Choice">
                    <xsd:enumeration value="Affordable Housing (REC)"/>
                    <xsd:enumeration value="Architects &amp; Engineers (Service)"/>
                    <xsd:enumeration value="Auto Suppliers (M&amp;D)"/>
                    <xsd:enumeration value="Banks (FI)"/>
                    <xsd:enumeration value="Business Services (Service)"/>
                    <xsd:enumeration value="Construction (REC)"/>
                    <xsd:enumeration value="Credit Unions (FI)"/>
                    <xsd:enumeration value="Energy (REC)"/>
                    <xsd:enumeration value="Food and Beverage (M&amp;D)"/>
                    <xsd:enumeration value="Government (PS)"/>
                    <xsd:enumeration value="Higher Education  (PS)"/>
                    <xsd:enumeration value="Hospitals &amp; Health Systems (HC)"/>
                    <xsd:enumeration value="Housing &amp; Community Development (REC)"/>
                    <xsd:enumeration value="Insurance, RE Brokers, Title Insurance (Service)"/>
                    <xsd:enumeration value="Japanese Business Services (M&amp;D)"/>
                    <xsd:enumeration value="K12 Education  (PS)"/>
                    <xsd:enumeration value="Law Firms (Service)"/>
                    <xsd:enumeration value="Manufacturing &amp; Distribution Consulting (M&amp;D)"/>
                    <xsd:enumeration value="Medical Device (M&amp;D)"/>
                    <xsd:enumeration value="Metals (M&amp;D)"/>
                    <xsd:enumeration value="New Market Tax Credits(REC)"/>
                    <xsd:enumeration value="Not for Profit (PS)"/>
                    <xsd:enumeration value="Physician Services (HC)"/>
                    <xsd:enumeration value="Plastics (M&amp;D)"/>
                    <xsd:enumeration value="Portfolio Companies (PEG)"/>
                    <xsd:enumeration value="Private Equity Funds (PEG)"/>
                    <xsd:enumeration value="Real Estate (REC)"/>
                    <xsd:enumeration value="Real Estate &amp; Construction Consulting (REC)"/>
                    <xsd:enumeration value="Retailers (Service)"/>
                    <xsd:enumeration value="Retail Dealerships (Service)"/>
                    <xsd:enumeration value="Senior Care &amp; Living Services (HC)"/>
                    <xsd:enumeration value="Technology Companies (Service)"/>
                    <xsd:enumeration value="Warehouse/Distribution (M&amp;D)"/>
                  </xsd:restriction>
                </xsd:simpleType>
              </xsd:element>
            </xsd:sequence>
          </xsd:extension>
        </xsd:complexContent>
      </xsd:complexType>
    </xsd:element>
    <xsd:element name="PMFirm_x0020_Operations_x0020_Group" ma:index="13" nillable="true" ma:displayName="Firm Operations Group" ma:internalName="PMFirm_x0020_Operations_x0020_Group">
      <xsd:complexType>
        <xsd:complexContent>
          <xsd:extension base="dms:MultiChoice">
            <xsd:sequence>
              <xsd:element name="Value" maxOccurs="unbounded" minOccurs="0" nillable="true">
                <xsd:simpleType>
                  <xsd:restriction base="dms:Choice">
                    <xsd:enumeration value="Graphics"/>
                    <xsd:enumeration value="Human Resources"/>
                    <xsd:enumeration value="Internal Accounting &amp; Finance"/>
                    <xsd:enumeration value="Marketing"/>
                    <xsd:enumeration value="Offices"/>
                    <xsd:enumeration value="Technology Services"/>
                  </xsd:restriction>
                </xsd:simpleType>
              </xsd:element>
            </xsd:sequence>
          </xsd:extension>
        </xsd:complexContent>
      </xsd:complexType>
    </xsd:element>
    <xsd:element name="PMSub_x0020_Firm_x0020_Operations_x0020_Group" ma:index="14" nillable="true" ma:displayName="Sub Firm Operations Group" ma:internalName="PMSub_x0020_Firm_x0020_Operations_x0020_Group">
      <xsd:complexType>
        <xsd:complexContent>
          <xsd:extension base="dms:MultiChoice">
            <xsd:sequence>
              <xsd:element name="Value" maxOccurs="unbounded" minOccurs="0" nillable="true">
                <xsd:simpleType>
                  <xsd:restriction base="dms:Choice">
                    <xsd:enumeration value="Ann Arbor (Offices)"/>
                    <xsd:enumeration value="Auburn Hills (Offices)"/>
                    <xsd:enumeration value="Chicago (Offices)"/>
                    <xsd:enumeration value="Cincinnati (Offices)"/>
                    <xsd:enumeration value="Cleveland (Offices)"/>
                    <xsd:enumeration value="Columbus (Offices)"/>
                    <xsd:enumeration value="Communications (Marketing)"/>
                    <xsd:enumeration value="Diversity (HR)"/>
                    <xsd:enumeration value="East Lansing (Offices)"/>
                    <xsd:enumeration value="Elgin (Offices)"/>
                    <xsd:enumeration value="Facilities (IA&amp;F)"/>
                    <xsd:enumeration value="Facilities (Offices)"/>
                    <xsd:enumeration value="Financial Reporting (IA&amp;F)"/>
                    <xsd:enumeration value="Flint (Offices)"/>
                    <xsd:enumeration value="Grand Rapids (Offices)"/>
                    <xsd:enumeration value="Kalamazoo (Offices)"/>
                    <xsd:enumeration value="Learning/Training (HR)"/>
                    <xsd:enumeration value="Macomb (Offices)"/>
                    <xsd:enumeration value="Performance Management / Staff Development (HR)"/>
                    <xsd:enumeration value="Practice Development (Marketing)"/>
                    <xsd:enumeration value="Printing (GR)"/>
                    <xsd:enumeration value="Recruiting (HR)"/>
                    <xsd:enumeration value="Report Processing (GR)"/>
                    <xsd:enumeration value="Shanghai (Offices)"/>
                    <xsd:enumeration value="Southfield (Offices)"/>
                    <xsd:enumeration value="St. Joseph/Benton Harbor (Offices)"/>
                    <xsd:enumeration value="Toledo (Offices)"/>
                    <xsd:enumeration value="Total Rewards (HR)"/>
                    <xsd:enumeration value="Transaction Processing (IA&amp;F)"/>
                    <xsd:enumeration value="Traverse City (Offices)"/>
                    <xsd:enumeration value="Treasury and Collections (IA&amp;F)"/>
                    <xsd:enumeration value="Workplace Success (HR)"/>
                  </xsd:restriction>
                </xsd:simpleType>
              </xsd:element>
            </xsd:sequence>
          </xsd:extension>
        </xsd:complexContent>
      </xsd:complexType>
    </xsd:element>
    <xsd:element name="PMTopic" ma:index="15" nillable="true" ma:displayName="Topic" ma:internalName="PMTopic">
      <xsd:complexType>
        <xsd:complexContent>
          <xsd:extension base="dms:MultiChoice">
            <xsd:sequence>
              <xsd:element name="Value" maxOccurs="unbounded" minOccurs="0" nillable="true">
                <xsd:simpleType>
                  <xsd:restriction base="dms:Choice">
                    <xsd:enumeration value="Assessment &amp; Acquisition Management (TC&amp;S)"/>
                    <xsd:enumeration value="Business Applications (TC&amp;S)"/>
                    <xsd:enumeration value="Compliance Plans (Coding &amp; Compliance)"/>
                    <xsd:enumeration value="Debt Capacity Studies (Financial Consulting)"/>
                    <xsd:enumeration value="Financial Plan (IA&amp;F)"/>
                    <xsd:enumeration value="Forecasts and Projections (Assurance)"/>
                    <xsd:enumeration value="Hospital Reimbursement (Reimbursement)"/>
                    <xsd:enumeration value="Hospital Operations (Strategy &amp; Operations)"/>
                    <xsd:enumeration value="Insurance Claims (MC)"/>
                    <xsd:enumeration value="Investigative/Forensic Accounting Services (MC)"/>
                    <xsd:enumeration value="Litigation Economic Damages Analysis (MC)"/>
                    <xsd:enumeration value="Medical Record Reviews (Coding &amp; Compliance)"/>
                    <xsd:enumeration value="Orthopedics (PMCF)"/>
                    <xsd:enumeration value="Partner Matters (IA&amp;F)"/>
                    <xsd:enumeration value="Pharmaceuticals (PMCF)"/>
                    <xsd:enumeration value="Process Consulting (TC&amp;S)"/>
                    <xsd:enumeration value="Revenue Cycle (Financial Consulting)"/>
                    <xsd:enumeration value="Risk Management (IA&amp;F)"/>
                    <xsd:enumeration value="Security Matters (IA&amp;F)"/>
                    <xsd:enumeration value="Senior Care Operations (Strategy &amp; Operations)"/>
                    <xsd:enumeration value="Senior Care Reimbursement (Reimbursement)"/>
                    <xsd:enumeration value="Tax Return (IA&amp;F)"/>
                    <xsd:enumeration value="Valuation Services (MC)"/>
                  </xsd:restriction>
                </xsd:simpleType>
              </xsd:element>
            </xsd:sequence>
          </xsd:extension>
        </xsd:complexContent>
      </xsd:complexType>
    </xsd:element>
    <xsd:element name="PMTool_x0020_Type" ma:index="16" nillable="true" ma:displayName="Tool Type" ma:default="" ma:internalName="PMTool_x0020_Type">
      <xsd:complexType>
        <xsd:complexContent>
          <xsd:extension base="dms:MultiChoice">
            <xsd:sequence>
              <xsd:element name="Value" maxOccurs="unbounded" minOccurs="0" nillable="true">
                <xsd:simpleType>
                  <xsd:restriction base="dms:Choice">
                    <xsd:enumeration value="Application"/>
                    <xsd:enumeration value="Best Practice"/>
                    <xsd:enumeration value="Collateral"/>
                    <xsd:enumeration value="Directory"/>
                    <xsd:enumeration value="Form"/>
                    <xsd:enumeration value="Job Aid"/>
                    <xsd:enumeration value="Reference"/>
                    <xsd:enumeration value="Template"/>
                  </xsd:restriction>
                </xsd:simpleType>
              </xsd:element>
            </xsd:sequence>
          </xsd:extension>
        </xsd:complexContent>
      </xsd:complexType>
    </xsd:element>
    <xsd:element name="PMSub_x0020_Tool_x0020_Type" ma:index="17" nillable="true" ma:displayName="Sub Tool Type" ma:default="" ma:internalName="PMSub_x0020_Tool_x0020_Type">
      <xsd:complexType>
        <xsd:complexContent>
          <xsd:extension base="dms:MultiChoice">
            <xsd:sequence>
              <xsd:element name="Value" maxOccurs="unbounded" minOccurs="0" nillable="true">
                <xsd:simpleType>
                  <xsd:restriction base="dms:Choice">
                    <xsd:enumeration value="Checklists (Ref)"/>
                    <xsd:enumeration value="Elections/Attachments (Job Aid)"/>
                    <xsd:enumeration value="External Commentaries (Ref)"/>
                    <xsd:enumeration value="Governmental Sites (Job Aid)"/>
                    <xsd:enumeration value="Internal Commentaries (Ref)"/>
                    <xsd:enumeration value="Internet Tools/Tables/Calculators (Job Aid)"/>
                    <xsd:enumeration value="Manuals (BP)"/>
                    <xsd:enumeration value="Morningstar Reports (Ref)"/>
                    <xsd:enumeration value="Policies (BP)"/>
                    <xsd:enumeration value="Procedures (BP)"/>
                    <xsd:enumeration value="Research Sites (Job Aid)"/>
                    <xsd:enumeration value="Research Tools (Job Aid)"/>
                    <xsd:enumeration value="Technology Guides (Job Aid)"/>
                  </xsd:restriction>
                </xsd:simpleType>
              </xsd:element>
            </xsd:sequence>
          </xsd:extension>
        </xsd:complexContent>
      </xsd:complexType>
    </xsd:element>
    <xsd:element name="PMOffice" ma:index="18" nillable="true" ma:displayName="Office" ma:internalName="PMOffice">
      <xsd:complexType>
        <xsd:complexContent>
          <xsd:extension base="dms:MultiChoice">
            <xsd:sequence>
              <xsd:element name="Value" maxOccurs="unbounded" minOccurs="0" nillable="true">
                <xsd:simpleType>
                  <xsd:restriction base="dms:Choice">
                    <xsd:enumeration value="Ann Arbor"/>
                    <xsd:enumeration value="Auburn Hills"/>
                    <xsd:enumeration value="St. Joseph-Benton Harbor"/>
                    <xsd:enumeration value="Chicago Riverside Plaza"/>
                    <xsd:enumeration value="Chicago W Washington"/>
                    <xsd:enumeration value="Cincinnati"/>
                    <xsd:enumeration value="Cleveland"/>
                    <xsd:enumeration value="Columbus"/>
                    <xsd:enumeration value="East Lansing"/>
                    <xsd:enumeration value="Flint"/>
                    <xsd:enumeration value="Grand Rapids"/>
                    <xsd:enumeration value="Kalamazoo"/>
                    <xsd:enumeration value="Macomb"/>
                    <xsd:enumeration value="Northwest Chicago"/>
                    <xsd:enumeration value="Shanghai"/>
                    <xsd:enumeration value="Southfield"/>
                    <xsd:enumeration value="Toledo"/>
                    <xsd:enumeration value="Traverse City"/>
                  </xsd:restriction>
                </xsd:simpleType>
              </xsd:element>
            </xsd:sequence>
          </xsd:extension>
        </xsd:complexContent>
      </xsd:complexType>
    </xsd:element>
    <xsd:element name="PMRestrict_x0020_Access_x0020_to_x0020_Group" ma:index="19" nillable="true" ma:displayName="Restrict Access to Group" ma:default="0" ma:internalName="PMRestrict_x0020_Access_x0020_to_x0020_Group">
      <xsd:simpleType>
        <xsd:restriction base="dms:Boolean"/>
      </xsd:simpleType>
    </xsd:element>
    <xsd:element name="PMRole" ma:index="20" nillable="true" ma:displayName="Role" ma:default="" ma:internalName="PMRole">
      <xsd:complexType>
        <xsd:complexContent>
          <xsd:extension base="dms:MultiChoice">
            <xsd:sequence>
              <xsd:element name="Value" maxOccurs="unbounded" minOccurs="0" nillable="true">
                <xsd:simpleType>
                  <xsd:restriction base="dms:Choice">
                    <xsd:enumeration value="Managing Partner"/>
                    <xsd:enumeration value="GMP"/>
                    <xsd:enumeration value="OMP"/>
                    <xsd:enumeration value="IMPACT"/>
                    <xsd:enumeration value="Department Head"/>
                    <xsd:enumeration value="IGL"/>
                    <xsd:enumeration value="SGL"/>
                  </xsd:restriction>
                </xsd:simpleType>
              </xsd:element>
            </xsd:sequence>
          </xsd:extension>
        </xsd:complexContent>
      </xsd:complexType>
    </xsd:element>
    <xsd:element name="PMPosition" ma:index="21" nillable="true" ma:displayName="Position" ma:default="" ma:internalName="PMPosition">
      <xsd:complexType>
        <xsd:complexContent>
          <xsd:extension base="dms:MultiChoice">
            <xsd:sequence>
              <xsd:element name="Value" maxOccurs="unbounded" minOccurs="0" nillable="true">
                <xsd:simpleType>
                  <xsd:restriction base="dms:Choice">
                    <xsd:enumeration value="Partner"/>
                    <xsd:enumeration value="Staff"/>
                    <xsd:enumeration value="Associate"/>
                    <xsd:enumeration value="Affiliated Entity Member"/>
                    <xsd:enumeration value="Consulting Manager"/>
                    <xsd:enumeration value="Contract Staff"/>
                    <xsd:enumeration value="Intern"/>
                    <xsd:enumeration value="Seasonal Staff"/>
                    <xsd:enumeration value="Temp/Contract (External)"/>
                    <xsd:enumeration value="Temp/Contract (Internal)"/>
                  </xsd:restriction>
                </xsd:simpleType>
              </xsd:element>
            </xsd:sequence>
          </xsd:extension>
        </xsd:complexContent>
      </xsd:complexType>
    </xsd:element>
    <xsd:element name="PMTeam" ma:index="23" nillable="true" ma:displayName="Team" ma:internalName="PMTeam">
      <xsd:complexType>
        <xsd:complexContent>
          <xsd:extension base="dms:MultiChoice">
            <xsd:sequence>
              <xsd:element name="Value" maxOccurs="unbounded" minOccurs="0" nillable="true">
                <xsd:simpleType>
                  <xsd:restriction base="dms:Choice">
                    <xsd:enumeration value="Accounts Payable (IA&amp;F)"/>
                    <xsd:enumeration value="Accounts Receivable &amp; Billing (IA&amp;F)"/>
                    <xsd:enumeration value="Collections (IA&amp;F)"/>
                    <xsd:enumeration value="Communications &amp; Networking (TC&amp;S)"/>
                    <xsd:enumeration value="General Ledger (IA&amp;F)"/>
                    <xsd:enumeration value="Global Services (S&amp;GS)"/>
                    <xsd:enumeration value="Operations Improvement (ROI)"/>
                    <xsd:enumeration value="Organizational Development &amp; Personnel Assessment (ROI)"/>
                    <xsd:enumeration value="Payroll &amp; Benefits (IA&amp;F)"/>
                    <xsd:enumeration value="Professional Standards Team (Assurance)"/>
                    <xsd:enumeration value="Restructuring &amp; Turnaround (ROI)"/>
                    <xsd:enumeration value="Security Assurance (TC&amp;S)"/>
                    <xsd:enumeration value="Strategy (S&amp;GS)"/>
                    <xsd:enumeration value="Treasury (IA&amp;F)"/>
                    <xsd:enumeration value="Web Development (TC&amp;S)"/>
                  </xsd:restriction>
                </xsd:simpleType>
              </xsd:element>
            </xsd:sequence>
          </xsd:extension>
        </xsd:complexContent>
      </xsd:complexType>
    </xsd:element>
    <xsd:element name="PMPurpose" ma:index="24" nillable="true" ma:displayName="Purpose" ma:default="" ma:internalName="PMPurpose">
      <xsd:complexType>
        <xsd:complexContent>
          <xsd:extension base="dms:MultiChoice">
            <xsd:sequence>
              <xsd:element name="Value" maxOccurs="unbounded" minOccurs="0" nillable="true">
                <xsd:simpleType>
                  <xsd:restriction base="dms:Choice">
                    <xsd:enumeration value="Client/Engagement-Related"/>
                    <xsd:enumeration value="Firm Management"/>
                    <xsd:enumeration value="Practice Development"/>
                    <xsd:enumeration value="Practice Management"/>
                    <xsd:enumeration value="Support &amp; Information"/>
                    <xsd:enumeration value="Training"/>
                  </xsd:restriction>
                </xsd:simpleType>
              </xsd:element>
            </xsd:sequence>
          </xsd:extension>
        </xsd:complexContent>
      </xsd:complexType>
    </xsd:element>
    <xsd:element name="PMSub_x0020_Purpose" ma:index="25" nillable="true" ma:displayName="Sub Purpose" ma:internalName="PMSub_x0020_Purpose">
      <xsd:complexType>
        <xsd:complexContent>
          <xsd:extension base="dms:MultiChoice">
            <xsd:sequence>
              <xsd:element name="Value" maxOccurs="unbounded" minOccurs="0" nillable="true">
                <xsd:simpleType>
                  <xsd:restriction base="dms:Choice">
                    <xsd:enumeration value="Accounts Receivable &amp; Billing (S&amp;I)"/>
                    <xsd:enumeration value="Agreed Upon Procedures (CER)"/>
                    <xsd:enumeration value="Audits (CER)"/>
                    <xsd:enumeration value="Caseware (S&amp;I)"/>
                    <xsd:enumeration value="Consultation Workflow (S&amp;I)"/>
                    <xsd:enumeration value="External (Training)"/>
                    <xsd:enumeration value="Forecasts &amp; Projections (CER)"/>
                    <xsd:enumeration value="FSR Workflow (S&amp;I)"/>
                    <xsd:enumeration value="IDEA (S&amp;I)"/>
                    <xsd:enumeration value="Licenses (Training)"/>
                    <xsd:enumeration value="Pension and 401(k) Administration (S&amp;I)"/>
                    <xsd:enumeration value="Performance Management (PM)"/>
                    <xsd:enumeration value="Professional Standards (PM)"/>
                    <xsd:enumeration value="Reviews &amp; Compilations (CER)"/>
                    <xsd:enumeration value="SAS 70 (CER)"/>
                    <xsd:enumeration value="Self Management (S&amp;I)"/>
                    <xsd:enumeration value="Staff Trak (S&amp;I)"/>
                    <xsd:enumeration value="Standards (PM)"/>
                    <xsd:enumeration value="Systems (Training)"/>
                    <xsd:enumeration value="Transaction Processing - Partner and Staff Payroll (S&amp;I)"/>
                    <xsd:enumeration value="Transaction Processing - Payment Processing (Accounts Payable) (S&amp;I)"/>
                    <xsd:enumeration value="Travel (FM)"/>
                  </xsd:restriction>
                </xsd:simpleType>
              </xsd:element>
            </xsd:sequence>
          </xsd:extension>
        </xsd:complexContent>
      </xsd:complexType>
    </xsd:element>
  </xsd:schema>
  <xsd:schema xmlns:xsd="http://www.w3.org/2001/XMLSchema" xmlns:dms="http://schemas.microsoft.com/office/2006/documentManagement/types" targetNamespace="355d3874-b2b8-449a-b760-18ef8251a67a" elementFormDefault="qualified">
    <xsd:import namespace="http://schemas.microsoft.com/office/2006/documentManagement/types"/>
    <xsd:element name="PMSub_x0020_Position" ma:index="22" nillable="true" ma:displayName="Sub Position" ma:default="" ma:internalName="PMSub_x0020_Position">
      <xsd:complexType>
        <xsd:complexContent>
          <xsd:extension base="dms:MultiChoice">
            <xsd:sequence>
              <xsd:element name="Value" maxOccurs="unbounded" minOccurs="0" nillable="true">
                <xsd:simpleType>
                  <xsd:restriction base="dms:Choice">
                    <xsd:enumeration value="Equity Partner"/>
                    <xsd:enumeration value="Income Partner"/>
                  </xsd:restriction>
                </xsd:simpleType>
              </xsd:element>
            </xsd:sequence>
          </xsd:extension>
        </xsd:complexContent>
      </xsd:complexType>
    </xsd:element>
  </xsd:schema>
  <xsd:schema xmlns:xsd="http://www.w3.org/2001/XMLSchema" xmlns:dms="http://schemas.microsoft.com/office/2006/documentManagement/types" targetNamespace="a7cec46d-b83f-480a-923e-5e83a48d57ba" elementFormDefault="qualified">
    <xsd:import namespace="http://schemas.microsoft.com/office/2006/documentManagement/types"/>
    <xsd:element name="PMLink_x0020_Group" ma:index="26" nillable="true" ma:displayName="Link Group" ma:default="" ma:format="Dropdown" ma:internalName="PMLink_x0020_Group">
      <xsd:simpleType>
        <xsd:union memberTypes="dms:Text">
          <xsd:simpleType>
            <xsd:restriction base="dms:Choice">
              <xsd:enumeration value="Group 1"/>
              <xsd:enumeration value="Group 2"/>
              <xsd:enumeration value="Group 3"/>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MSub_x0020_Service_x0020_Group xmlns="d80acb0e-a878-4158-8256-3916bd6b5c02"/>
    <PMRestrict_x0020_Access_x0020_to_x0020_Group xmlns="d80acb0e-a878-4158-8256-3916bd6b5c02">false</PMRestrict_x0020_Access_x0020_to_x0020_Group>
    <PMRole xmlns="d80acb0e-a878-4158-8256-3916bd6b5c02"/>
    <PMFirm_x0020_Operations_x0020_Group xmlns="d80acb0e-a878-4158-8256-3916bd6b5c02"/>
    <PMPosition xmlns="d80acb0e-a878-4158-8256-3916bd6b5c02"/>
    <PMPurpose xmlns="d80acb0e-a878-4158-8256-3916bd6b5c02">
      <Value xmlns="d80acb0e-a878-4158-8256-3916bd6b5c02">Client/Engagement-Related</Value>
      <Value xmlns="d80acb0e-a878-4158-8256-3916bd6b5c02">Practice Management</Value>
    </PMPurpose>
    <PMTeam xmlns="d80acb0e-a878-4158-8256-3916bd6b5c02"/>
    <PMSub_x0020_Purpose xmlns="d80acb0e-a878-4158-8256-3916bd6b5c02"/>
    <PMIntended_x0020_Audience xmlns="d80acb0e-a878-4158-8256-3916bd6b5c02">
      <Value xmlns="d80acb0e-a878-4158-8256-3916bd6b5c02">Firm</Value>
    </PMIntended_x0020_Audience>
    <PMIndustry xmlns="d80acb0e-a878-4158-8256-3916bd6b5c02">
      <Value xmlns="d80acb0e-a878-4158-8256-3916bd6b5c02">Public Sector</Value>
    </PMIndustry>
    <PMSub_x0020_Tool_x0020_Type xmlns="d80acb0e-a878-4158-8256-3916bd6b5c02">
      <Value xmlns="d80acb0e-a878-4158-8256-3916bd6b5c02">Governmental Sites (Job Aid)</Value>
    </PMSub_x0020_Tool_x0020_Type>
    <PMSub_x0020_Firm_x0020_Operations_x0020_Group xmlns="d80acb0e-a878-4158-8256-3916bd6b5c02"/>
    <PMTool_x0020_Type xmlns="d80acb0e-a878-4158-8256-3916bd6b5c02">
      <Value xmlns="d80acb0e-a878-4158-8256-3916bd6b5c02">Reference</Value>
      <Value xmlns="d80acb0e-a878-4158-8256-3916bd6b5c02">Template</Value>
    </PMTool_x0020_Type>
    <URL xmlns="http://schemas.microsoft.com/sharepoint/v3">
      <Url xsi:nil="true"/>
      <Description xsi:nil="true"/>
    </URL>
    <PMSub_x0020_Position xmlns="355d3874-b2b8-449a-b760-18ef8251a67a"/>
    <PMLink_x0020_Group xmlns="a7cec46d-b83f-480a-923e-5e83a48d57ba" xsi:nil="true"/>
    <PMSub_x0020_Industry xmlns="d80acb0e-a878-4158-8256-3916bd6b5c02">
      <Value xmlns="d80acb0e-a878-4158-8256-3916bd6b5c02">Government (PS)</Value>
    </PMSub_x0020_Industry>
    <PMOffice xmlns="d80acb0e-a878-4158-8256-3916bd6b5c02"/>
    <PMService_x0020_Group xmlns="d80acb0e-a878-4158-8256-3916bd6b5c02"/>
    <PMTopic xmlns="d80acb0e-a878-4158-8256-3916bd6b5c02"/>
  </documentManagement>
</p:properties>
</file>

<file path=customXml/itemProps1.xml><?xml version="1.0" encoding="utf-8"?>
<ds:datastoreItem xmlns:ds="http://schemas.openxmlformats.org/officeDocument/2006/customXml" ds:itemID="{25DCC77E-A35D-4A18-BBE5-AB73F8CDA1A3}">
  <ds:schemaRefs>
    <ds:schemaRef ds:uri="http://schemas.microsoft.com/office/2006/metadata/longProperties"/>
  </ds:schemaRefs>
</ds:datastoreItem>
</file>

<file path=customXml/itemProps2.xml><?xml version="1.0" encoding="utf-8"?>
<ds:datastoreItem xmlns:ds="http://schemas.openxmlformats.org/officeDocument/2006/customXml" ds:itemID="{710D8BA9-D153-46D2-9AB2-B067A572B930}">
  <ds:schemaRefs>
    <ds:schemaRef ds:uri="http://schemas.microsoft.com/sharepoint/v3/contenttype/forms"/>
  </ds:schemaRefs>
</ds:datastoreItem>
</file>

<file path=customXml/itemProps3.xml><?xml version="1.0" encoding="utf-8"?>
<ds:datastoreItem xmlns:ds="http://schemas.openxmlformats.org/officeDocument/2006/customXml" ds:itemID="{C777FAAE-2DAD-4915-8ADA-37C77A4EF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0acb0e-a878-4158-8256-3916bd6b5c02"/>
    <ds:schemaRef ds:uri="355d3874-b2b8-449a-b760-18ef8251a67a"/>
    <ds:schemaRef ds:uri="a7cec46d-b83f-480a-923e-5e83a48d57b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83F48163-9ED5-48D7-A1E6-E6C65E16D414}">
  <ds:schemaRefs>
    <ds:schemaRef ds:uri="d80acb0e-a878-4158-8256-3916bd6b5c02"/>
    <ds:schemaRef ds:uri="http://schemas.microsoft.com/office/2006/metadata/properties"/>
    <ds:schemaRef ds:uri="http://purl.org/dc/elements/1.1/"/>
    <ds:schemaRef ds:uri="http://purl.org/dc/dcmitype/"/>
    <ds:schemaRef ds:uri="http://schemas.microsoft.com/office/2006/documentManagement/types"/>
    <ds:schemaRef ds:uri="http://purl.org/dc/terms/"/>
    <ds:schemaRef ds:uri="355d3874-b2b8-449a-b760-18ef8251a67a"/>
    <ds:schemaRef ds:uri="http://schemas.microsoft.com/sharepoint/v3"/>
    <ds:schemaRef ds:uri="http://www.w3.org/XML/1998/namespace"/>
    <ds:schemaRef ds:uri="http://schemas.openxmlformats.org/package/2006/metadata/core-properties"/>
    <ds:schemaRef ds:uri="a7cec46d-b83f-480a-923e-5e83a48d57ba"/>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Instructions</vt:lpstr>
      <vt:lpstr>Data Input</vt:lpstr>
      <vt:lpstr>Rev</vt:lpstr>
      <vt:lpstr>Exp</vt:lpstr>
      <vt:lpstr>Position</vt:lpstr>
      <vt:lpstr>Debt Service</vt:lpstr>
      <vt:lpstr>Obligations</vt:lpstr>
      <vt:lpstr>Unused --&gt;</vt:lpstr>
      <vt:lpstr>Budget</vt:lpstr>
      <vt:lpstr>F-65 Cross-walk</vt:lpstr>
      <vt:lpstr>Restating Under G54</vt:lpstr>
      <vt:lpstr>Instructions!Citizens_Guide_Instructions</vt:lpstr>
      <vt:lpstr>'Data Input'!Print_Area</vt:lpstr>
      <vt:lpstr>'Debt Service'!Print_Area</vt:lpstr>
      <vt:lpstr>Exp!Print_Area</vt:lpstr>
      <vt:lpstr>Obligations!Print_Area</vt:lpstr>
      <vt:lpstr>Position!Print_Area</vt:lpstr>
      <vt:lpstr>Rev!Print_Area</vt:lpstr>
      <vt:lpstr>'Data Input'!Print_Titles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Citizens Guide City of XXX 2012 - Updated for G54 and new EVIP (2)</dc:title>
  <dc:creator>Joe.Heffernan</dc:creator>
  <cp:lastModifiedBy>Diederich, Derek</cp:lastModifiedBy>
  <cp:lastPrinted>2011-06-04T14:46:16Z</cp:lastPrinted>
  <dcterms:created xsi:type="dcterms:W3CDTF">2011-01-04T15:16:36Z</dcterms:created>
  <dcterms:modified xsi:type="dcterms:W3CDTF">2023-11-16T20:55:53Z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PMDocument</vt:lpwstr>
  </property>
  <property fmtid="{D5CDD505-2E9C-101B-9397-08002B2CF9AE}" pid="3" name="MSIP_Label_defa4170-0d19-0005-0004-bc88714345d2_Enabled">
    <vt:lpwstr>true</vt:lpwstr>
  </property>
  <property fmtid="{D5CDD505-2E9C-101B-9397-08002B2CF9AE}" pid="4" name="MSIP_Label_defa4170-0d19-0005-0004-bc88714345d2_SetDate">
    <vt:lpwstr>2023-11-16T20:32:19Z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337facce-9376-416f-8d25-f97940e814ea</vt:lpwstr>
  </property>
  <property fmtid="{D5CDD505-2E9C-101B-9397-08002B2CF9AE}" pid="8" name="MSIP_Label_defa4170-0d19-0005-0004-bc88714345d2_ActionId">
    <vt:lpwstr>c4691399-4290-4b15-80ca-7ca2063c5854</vt:lpwstr>
  </property>
  <property fmtid="{D5CDD505-2E9C-101B-9397-08002B2CF9AE}" pid="9" name="MSIP_Label_defa4170-0d19-0005-0004-bc88714345d2_ContentBits">
    <vt:lpwstr>0</vt:lpwstr>
  </property>
</Properties>
</file>